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/>
  <bookViews>
    <workbookView showSheetTabs="0" xWindow="8505" yWindow="-15" windowWidth="8580" windowHeight="5115"/>
  </bookViews>
  <sheets>
    <sheet name="Table" sheetId="9" r:id="rId1"/>
    <sheet name="Values" sheetId="8" r:id="rId2"/>
  </sheets>
  <definedNames>
    <definedName name="_list">Table!$A$52</definedName>
    <definedName name="_num">Table!$A$56</definedName>
    <definedName name="_travel_time">Table!$A$53</definedName>
    <definedName name="Constants">Values!$N$21:$P$27</definedName>
    <definedName name="DC_used">Table!$A$58</definedName>
    <definedName name="DxR">Values!$P$27</definedName>
    <definedName name="eMax">Table!$C$1</definedName>
    <definedName name="Incr">Values!$V$20:$W$29</definedName>
    <definedName name="Incr_DC">Values!$Y$20:$Z$27</definedName>
    <definedName name="Lanes">Table!$C$3</definedName>
    <definedName name="Lanes_adj">Values!$S$21:$T$26</definedName>
    <definedName name="Length">Table!$B$4</definedName>
    <definedName name="Metric">Table!$A$57</definedName>
    <definedName name="MinR">Table!$C$8</definedName>
    <definedName name="NC">Table!$C$2</definedName>
    <definedName name="Round_e">Table!$A$54</definedName>
    <definedName name="Round_L">Table!$A$55</definedName>
    <definedName name="Speed2">Values!$A$3:$L$14</definedName>
    <definedName name="Speed3">Values!$N$3:$Z$16</definedName>
    <definedName name="Speeds2">Values!$A$3:$A$14</definedName>
    <definedName name="Speeds3">Values!$N$3:$N$16</definedName>
    <definedName name="Travel_time">Values!$E$16</definedName>
    <definedName name="V">Table!$A$2</definedName>
    <definedName name="Width">Table!$A$4</definedName>
  </definedNames>
  <calcPr calcId="145621"/>
</workbook>
</file>

<file path=xl/calcChain.xml><?xml version="1.0" encoding="utf-8"?>
<calcChain xmlns="http://schemas.openxmlformats.org/spreadsheetml/2006/main">
  <c r="A57" i="9" l="1"/>
  <c r="A56" i="9" s="1"/>
  <c r="A3" i="9"/>
  <c r="A58" i="9"/>
  <c r="R57" i="9"/>
  <c r="Z3" i="8"/>
  <c r="Z8" i="8"/>
  <c r="B2" i="9"/>
  <c r="Q4" i="9" s="1"/>
  <c r="L57" i="9"/>
  <c r="K3" i="9"/>
  <c r="B60" i="9"/>
  <c r="F57" i="9"/>
  <c r="E16" i="8"/>
  <c r="E7" i="8" s="1"/>
  <c r="F5" i="8"/>
  <c r="F6" i="8"/>
  <c r="F3" i="8"/>
  <c r="S3" i="8"/>
  <c r="S11" i="8"/>
  <c r="F7" i="8"/>
  <c r="F4" i="8"/>
  <c r="S4" i="8"/>
  <c r="S12" i="8"/>
  <c r="F8" i="8"/>
  <c r="S5" i="8"/>
  <c r="S13" i="8"/>
  <c r="G7" i="8"/>
  <c r="H7" i="8"/>
  <c r="J7" i="8" s="1"/>
  <c r="K7" i="8" s="1"/>
  <c r="I7" i="8"/>
  <c r="G8" i="8"/>
  <c r="I8" i="8" s="1"/>
  <c r="K8" i="8" s="1"/>
  <c r="H8" i="8"/>
  <c r="J8" i="8"/>
  <c r="G5" i="8"/>
  <c r="H5" i="8"/>
  <c r="J5" i="8" s="1"/>
  <c r="K5" i="8" s="1"/>
  <c r="I5" i="8"/>
  <c r="T5" i="8"/>
  <c r="V5" i="8" s="1"/>
  <c r="U5" i="8"/>
  <c r="W5" i="8"/>
  <c r="T13" i="8"/>
  <c r="U13" i="8"/>
  <c r="W13" i="8" s="1"/>
  <c r="X13" i="8" s="1"/>
  <c r="V13" i="8"/>
  <c r="G6" i="8"/>
  <c r="H6" i="8"/>
  <c r="J6" i="8"/>
  <c r="I6" i="8"/>
  <c r="K6" i="8"/>
  <c r="G4" i="8"/>
  <c r="H4" i="8"/>
  <c r="J4" i="8" s="1"/>
  <c r="K4" i="8" s="1"/>
  <c r="I4" i="8"/>
  <c r="T12" i="8"/>
  <c r="U12" i="8"/>
  <c r="W12" i="8" s="1"/>
  <c r="V12" i="8"/>
  <c r="G3" i="8"/>
  <c r="T11" i="8"/>
  <c r="H3" i="8"/>
  <c r="J3" i="8"/>
  <c r="I3" i="8"/>
  <c r="K3" i="8"/>
  <c r="U11" i="8"/>
  <c r="W11" i="8"/>
  <c r="X11" i="8" s="1"/>
  <c r="V11" i="8"/>
  <c r="F14" i="8"/>
  <c r="F13" i="8"/>
  <c r="F11" i="8"/>
  <c r="F10" i="8"/>
  <c r="F9" i="8"/>
  <c r="F12" i="8"/>
  <c r="S14" i="8"/>
  <c r="S15" i="8"/>
  <c r="S10" i="8"/>
  <c r="S9" i="8"/>
  <c r="S8" i="8"/>
  <c r="S7" i="8"/>
  <c r="S6" i="8"/>
  <c r="S16" i="8"/>
  <c r="G21" i="8"/>
  <c r="G20" i="8"/>
  <c r="H21" i="8"/>
  <c r="H20" i="8"/>
  <c r="Z16" i="8"/>
  <c r="Z15" i="8"/>
  <c r="Z14" i="8"/>
  <c r="Z13" i="8"/>
  <c r="Z12" i="8"/>
  <c r="Z11" i="8"/>
  <c r="Z10" i="8"/>
  <c r="Z9" i="8"/>
  <c r="Z7" i="8"/>
  <c r="Z6" i="8"/>
  <c r="Z5" i="8"/>
  <c r="Z4" i="8"/>
  <c r="P3" i="8"/>
  <c r="T16" i="8"/>
  <c r="T15" i="8"/>
  <c r="T14" i="8"/>
  <c r="T10" i="8"/>
  <c r="T9" i="8"/>
  <c r="T8" i="8"/>
  <c r="T7" i="8"/>
  <c r="T6" i="8"/>
  <c r="P4" i="8"/>
  <c r="G14" i="8"/>
  <c r="G13" i="8"/>
  <c r="G12" i="8"/>
  <c r="G11" i="8"/>
  <c r="G10" i="8"/>
  <c r="G9" i="8"/>
  <c r="G1" i="8"/>
  <c r="U16" i="8"/>
  <c r="W16" i="8" s="1"/>
  <c r="V16" i="8"/>
  <c r="U15" i="8"/>
  <c r="W15" i="8" s="1"/>
  <c r="V15" i="8"/>
  <c r="U14" i="8"/>
  <c r="W14" i="8" s="1"/>
  <c r="V14" i="8"/>
  <c r="U10" i="8"/>
  <c r="W10" i="8" s="1"/>
  <c r="V10" i="8"/>
  <c r="U9" i="8"/>
  <c r="W9" i="8" s="1"/>
  <c r="V9" i="8"/>
  <c r="U8" i="8"/>
  <c r="W8" i="8" s="1"/>
  <c r="V8" i="8"/>
  <c r="U7" i="8"/>
  <c r="W7" i="8" s="1"/>
  <c r="V7" i="8"/>
  <c r="U6" i="8"/>
  <c r="W6" i="8" s="1"/>
  <c r="V6" i="8"/>
  <c r="H14" i="8"/>
  <c r="J14" i="8" s="1"/>
  <c r="H13" i="8"/>
  <c r="J13" i="8" s="1"/>
  <c r="H12" i="8"/>
  <c r="J12" i="8" s="1"/>
  <c r="H11" i="8"/>
  <c r="J11" i="8" s="1"/>
  <c r="H10" i="8"/>
  <c r="J10" i="8" s="1"/>
  <c r="H9" i="8"/>
  <c r="J9" i="8" s="1"/>
  <c r="D1" i="8"/>
  <c r="X5" i="8" l="1"/>
  <c r="X6" i="8"/>
  <c r="X7" i="8"/>
  <c r="X8" i="8"/>
  <c r="X9" i="8"/>
  <c r="X10" i="8"/>
  <c r="X14" i="8"/>
  <c r="X15" i="8"/>
  <c r="X16" i="8"/>
  <c r="X12" i="8"/>
  <c r="A5" i="9"/>
  <c r="E3" i="8"/>
  <c r="E12" i="8"/>
  <c r="R4" i="8"/>
  <c r="C19" i="8"/>
  <c r="E10" i="8"/>
  <c r="E14" i="8"/>
  <c r="R11" i="8"/>
  <c r="R6" i="8"/>
  <c r="R13" i="8"/>
  <c r="E4" i="8"/>
  <c r="E11" i="8"/>
  <c r="E13" i="8"/>
  <c r="R3" i="8"/>
  <c r="R5" i="8"/>
  <c r="R7" i="8"/>
  <c r="R12" i="8"/>
  <c r="R15" i="8"/>
  <c r="E3" i="9"/>
  <c r="A10" i="9"/>
  <c r="E4" i="9"/>
  <c r="R8" i="8"/>
  <c r="E9" i="8"/>
  <c r="R14" i="8"/>
  <c r="R16" i="8"/>
  <c r="E6" i="8"/>
  <c r="R10" i="8"/>
  <c r="Q3" i="9"/>
  <c r="C4" i="9"/>
  <c r="I11" i="8"/>
  <c r="K11" i="8" s="1"/>
  <c r="I12" i="8"/>
  <c r="K12" i="8" s="1"/>
  <c r="U4" i="8"/>
  <c r="T4" i="8"/>
  <c r="I9" i="8"/>
  <c r="K9" i="8" s="1"/>
  <c r="I10" i="8"/>
  <c r="K10" i="8" s="1"/>
  <c r="I13" i="8"/>
  <c r="K13" i="8" s="1"/>
  <c r="I14" i="8"/>
  <c r="K14" i="8" s="1"/>
  <c r="U3" i="8"/>
  <c r="T3" i="8"/>
  <c r="B4" i="9"/>
  <c r="E5" i="8"/>
  <c r="R9" i="8"/>
  <c r="E8" i="8"/>
  <c r="K4" i="9"/>
  <c r="C12" i="9"/>
  <c r="D4" i="9"/>
  <c r="A12" i="9" l="1"/>
  <c r="B12" i="9" s="1"/>
  <c r="G55" i="9"/>
  <c r="G54" i="9"/>
  <c r="D3" i="9"/>
  <c r="H54" i="9"/>
  <c r="U4" i="9"/>
  <c r="T53" i="9"/>
  <c r="A4" i="9"/>
  <c r="N55" i="9"/>
  <c r="O3" i="9"/>
  <c r="I3" i="9"/>
  <c r="A9" i="9"/>
  <c r="B9" i="9" s="1"/>
  <c r="B55" i="9"/>
  <c r="I4" i="9"/>
  <c r="U3" i="9"/>
  <c r="T55" i="9"/>
  <c r="C10" i="9"/>
  <c r="C11" i="9"/>
  <c r="N53" i="9"/>
  <c r="O4" i="9"/>
  <c r="H55" i="9"/>
  <c r="H53" i="9"/>
  <c r="C5" i="9"/>
  <c r="V3" i="8"/>
  <c r="W3" i="8"/>
  <c r="X3" i="8" s="1"/>
  <c r="V4" i="8"/>
  <c r="W4" i="8"/>
  <c r="X4" i="8" s="1"/>
  <c r="I9" i="9"/>
  <c r="H3" i="9"/>
  <c r="I12" i="9"/>
  <c r="H4" i="9"/>
  <c r="J4" i="9"/>
  <c r="I11" i="9"/>
  <c r="M54" i="9" l="1"/>
  <c r="J3" i="9"/>
  <c r="M55" i="9"/>
  <c r="N54" i="9"/>
  <c r="B11" i="9"/>
  <c r="C8" i="9"/>
  <c r="N4" i="9"/>
  <c r="I10" i="9"/>
  <c r="O11" i="9"/>
  <c r="O9" i="9"/>
  <c r="O10" i="9"/>
  <c r="O12" i="9"/>
  <c r="N3" i="9"/>
  <c r="P4" i="9"/>
  <c r="O8" i="9"/>
  <c r="E51" i="9"/>
  <c r="D9" i="9" l="1"/>
  <c r="H9" i="9" s="1"/>
  <c r="D11" i="9"/>
  <c r="F11" i="9" s="1"/>
  <c r="D12" i="9"/>
  <c r="F12" i="9" s="1"/>
  <c r="D10" i="9"/>
  <c r="S55" i="9"/>
  <c r="P3" i="9"/>
  <c r="S54" i="9"/>
  <c r="T54" i="9"/>
  <c r="J9" i="9"/>
  <c r="J12" i="9"/>
  <c r="J11" i="9"/>
  <c r="J10" i="9"/>
  <c r="C13" i="9"/>
  <c r="J8" i="9"/>
  <c r="A8" i="9"/>
  <c r="B8" i="9" s="1"/>
  <c r="C7" i="9"/>
  <c r="E11" i="9"/>
  <c r="U9" i="9"/>
  <c r="I8" i="9"/>
  <c r="U8" i="9"/>
  <c r="E12" i="9"/>
  <c r="U10" i="9"/>
  <c r="U12" i="9"/>
  <c r="T3" i="9"/>
  <c r="E9" i="9"/>
  <c r="U11" i="9"/>
  <c r="K51" i="9"/>
  <c r="T4" i="9"/>
  <c r="H11" i="9" l="1"/>
  <c r="F9" i="9"/>
  <c r="H12" i="9"/>
  <c r="G12" i="9"/>
  <c r="D8" i="9"/>
  <c r="G9" i="9"/>
  <c r="G11" i="9"/>
  <c r="P9" i="9"/>
  <c r="P12" i="9"/>
  <c r="P10" i="9"/>
  <c r="P11" i="9"/>
  <c r="P8" i="9"/>
  <c r="A13" i="9"/>
  <c r="B13" i="9" s="1"/>
  <c r="C14" i="9" s="1"/>
  <c r="L10" i="9"/>
  <c r="N10" i="9"/>
  <c r="L12" i="9"/>
  <c r="N12" i="9"/>
  <c r="K8" i="9"/>
  <c r="M8" i="9" s="1"/>
  <c r="N8" i="9"/>
  <c r="L8" i="9"/>
  <c r="L11" i="9"/>
  <c r="N11" i="9"/>
  <c r="L9" i="9"/>
  <c r="N9" i="9"/>
  <c r="P7" i="9"/>
  <c r="A7" i="9"/>
  <c r="B7" i="9" s="1"/>
  <c r="F10" i="9"/>
  <c r="H10" i="9"/>
  <c r="C6" i="9"/>
  <c r="K10" i="9"/>
  <c r="K9" i="9"/>
  <c r="K11" i="9"/>
  <c r="K12" i="9"/>
  <c r="Q51" i="9"/>
  <c r="I7" i="9"/>
  <c r="U7" i="9"/>
  <c r="I13" i="9"/>
  <c r="O13" i="9"/>
  <c r="E10" i="9"/>
  <c r="O7" i="9"/>
  <c r="U13" i="9"/>
  <c r="M12" i="9" l="1"/>
  <c r="P13" i="9"/>
  <c r="J7" i="9"/>
  <c r="M11" i="9"/>
  <c r="M10" i="9"/>
  <c r="D13" i="9"/>
  <c r="G10" i="9"/>
  <c r="D7" i="9"/>
  <c r="M9" i="9"/>
  <c r="J13" i="9"/>
  <c r="Q7" i="9"/>
  <c r="S7" i="9" s="1"/>
  <c r="R7" i="9"/>
  <c r="T7" i="9"/>
  <c r="Q8" i="9"/>
  <c r="S8" i="9" s="1"/>
  <c r="T8" i="9"/>
  <c r="R8" i="9"/>
  <c r="R10" i="9"/>
  <c r="T10" i="9"/>
  <c r="A6" i="9"/>
  <c r="B6" i="9" s="1"/>
  <c r="A14" i="9"/>
  <c r="B14" i="9" s="1"/>
  <c r="C15" i="9" s="1"/>
  <c r="R11" i="9"/>
  <c r="T11" i="9"/>
  <c r="R12" i="9"/>
  <c r="T12" i="9"/>
  <c r="R9" i="9"/>
  <c r="T9" i="9"/>
  <c r="H8" i="9"/>
  <c r="F8" i="9"/>
  <c r="Q11" i="9"/>
  <c r="Q9" i="9"/>
  <c r="Q10" i="9"/>
  <c r="U6" i="9"/>
  <c r="O6" i="9"/>
  <c r="I6" i="9"/>
  <c r="O14" i="9"/>
  <c r="E8" i="9"/>
  <c r="I14" i="9"/>
  <c r="U14" i="9"/>
  <c r="Q12" i="9"/>
  <c r="S11" i="9" l="1"/>
  <c r="G8" i="9"/>
  <c r="S12" i="9"/>
  <c r="J14" i="9"/>
  <c r="J6" i="9"/>
  <c r="S9" i="9"/>
  <c r="P14" i="9"/>
  <c r="D14" i="9"/>
  <c r="P6" i="9"/>
  <c r="D6" i="9"/>
  <c r="S10" i="9"/>
  <c r="A15" i="9"/>
  <c r="B15" i="9" s="1"/>
  <c r="C16" i="9" s="1"/>
  <c r="L13" i="9"/>
  <c r="N13" i="9"/>
  <c r="F7" i="9"/>
  <c r="H7" i="9"/>
  <c r="F13" i="9"/>
  <c r="H13" i="9"/>
  <c r="R13" i="9"/>
  <c r="T13" i="9"/>
  <c r="N7" i="9"/>
  <c r="L7" i="9"/>
  <c r="K13" i="9"/>
  <c r="Q13" i="9"/>
  <c r="K7" i="9"/>
  <c r="I15" i="9"/>
  <c r="E13" i="9"/>
  <c r="O15" i="9"/>
  <c r="U15" i="9"/>
  <c r="E7" i="9"/>
  <c r="G13" i="9" l="1"/>
  <c r="M7" i="9"/>
  <c r="M13" i="9"/>
  <c r="P15" i="9"/>
  <c r="D15" i="9"/>
  <c r="S13" i="9"/>
  <c r="G7" i="9"/>
  <c r="J15" i="9"/>
  <c r="R6" i="9"/>
  <c r="T6" i="9"/>
  <c r="R14" i="9"/>
  <c r="T14" i="9"/>
  <c r="N6" i="9"/>
  <c r="L6" i="9"/>
  <c r="A16" i="9"/>
  <c r="B16" i="9" s="1"/>
  <c r="C17" i="9" s="1"/>
  <c r="F6" i="9"/>
  <c r="H6" i="9"/>
  <c r="F14" i="9"/>
  <c r="H14" i="9"/>
  <c r="L14" i="9"/>
  <c r="N14" i="9"/>
  <c r="Q6" i="9"/>
  <c r="E14" i="9"/>
  <c r="O16" i="9"/>
  <c r="I16" i="9"/>
  <c r="Q14" i="9"/>
  <c r="U16" i="9"/>
  <c r="K6" i="9"/>
  <c r="E6" i="9"/>
  <c r="K14" i="9"/>
  <c r="M14" i="9" l="1"/>
  <c r="G6" i="9"/>
  <c r="P16" i="9"/>
  <c r="D16" i="9"/>
  <c r="M6" i="9"/>
  <c r="S6" i="9"/>
  <c r="G14" i="9"/>
  <c r="J16" i="9"/>
  <c r="S14" i="9"/>
  <c r="F15" i="9"/>
  <c r="H15" i="9"/>
  <c r="A17" i="9"/>
  <c r="B17" i="9" s="1"/>
  <c r="C18" i="9" s="1"/>
  <c r="L15" i="9"/>
  <c r="N15" i="9"/>
  <c r="R15" i="9"/>
  <c r="T15" i="9"/>
  <c r="E15" i="9"/>
  <c r="I17" i="9"/>
  <c r="O17" i="9"/>
  <c r="U17" i="9"/>
  <c r="Q15" i="9"/>
  <c r="K15" i="9"/>
  <c r="M15" i="9" l="1"/>
  <c r="P17" i="9"/>
  <c r="D17" i="9"/>
  <c r="G15" i="9"/>
  <c r="S15" i="9"/>
  <c r="J17" i="9"/>
  <c r="L16" i="9"/>
  <c r="N16" i="9"/>
  <c r="F16" i="9"/>
  <c r="H16" i="9"/>
  <c r="A18" i="9"/>
  <c r="B18" i="9" s="1"/>
  <c r="C19" i="9" s="1"/>
  <c r="R16" i="9"/>
  <c r="T16" i="9"/>
  <c r="E16" i="9"/>
  <c r="Q16" i="9"/>
  <c r="O18" i="9"/>
  <c r="I18" i="9"/>
  <c r="K16" i="9"/>
  <c r="U18" i="9"/>
  <c r="S16" i="9" l="1"/>
  <c r="P18" i="9"/>
  <c r="D18" i="9"/>
  <c r="J18" i="9"/>
  <c r="G16" i="9"/>
  <c r="M16" i="9"/>
  <c r="A19" i="9"/>
  <c r="B19" i="9" s="1"/>
  <c r="C20" i="9" s="1"/>
  <c r="L17" i="9"/>
  <c r="N17" i="9"/>
  <c r="R17" i="9"/>
  <c r="T17" i="9"/>
  <c r="F17" i="9"/>
  <c r="H17" i="9"/>
  <c r="Q17" i="9"/>
  <c r="K17" i="9"/>
  <c r="O19" i="9"/>
  <c r="U19" i="9"/>
  <c r="I19" i="9"/>
  <c r="E17" i="9"/>
  <c r="G17" i="9" l="1"/>
  <c r="M17" i="9"/>
  <c r="P19" i="9"/>
  <c r="D19" i="9"/>
  <c r="S17" i="9"/>
  <c r="J19" i="9"/>
  <c r="L18" i="9"/>
  <c r="N18" i="9"/>
  <c r="T18" i="9"/>
  <c r="R18" i="9"/>
  <c r="A20" i="9"/>
  <c r="B20" i="9" s="1"/>
  <c r="C21" i="9" s="1"/>
  <c r="F18" i="9"/>
  <c r="H18" i="9"/>
  <c r="Q18" i="9"/>
  <c r="K18" i="9"/>
  <c r="E18" i="9"/>
  <c r="U20" i="9"/>
  <c r="I20" i="9"/>
  <c r="O20" i="9"/>
  <c r="J20" i="9" l="1"/>
  <c r="M18" i="9"/>
  <c r="G18" i="9"/>
  <c r="P20" i="9"/>
  <c r="D20" i="9"/>
  <c r="S18" i="9"/>
  <c r="L19" i="9"/>
  <c r="N19" i="9"/>
  <c r="F19" i="9"/>
  <c r="H19" i="9"/>
  <c r="A21" i="9"/>
  <c r="B21" i="9" s="1"/>
  <c r="C22" i="9" s="1"/>
  <c r="R19" i="9"/>
  <c r="T19" i="9"/>
  <c r="K19" i="9"/>
  <c r="I21" i="9"/>
  <c r="E19" i="9"/>
  <c r="O21" i="9"/>
  <c r="Q19" i="9"/>
  <c r="U21" i="9"/>
  <c r="S19" i="9" l="1"/>
  <c r="P21" i="9"/>
  <c r="D21" i="9"/>
  <c r="G19" i="9"/>
  <c r="J21" i="9"/>
  <c r="M19" i="9"/>
  <c r="T20" i="9"/>
  <c r="R20" i="9"/>
  <c r="A22" i="9"/>
  <c r="B22" i="9" s="1"/>
  <c r="C23" i="9" s="1"/>
  <c r="F20" i="9"/>
  <c r="H20" i="9"/>
  <c r="L20" i="9"/>
  <c r="N20" i="9"/>
  <c r="K20" i="9"/>
  <c r="E20" i="9"/>
  <c r="U22" i="9"/>
  <c r="I22" i="9"/>
  <c r="O22" i="9"/>
  <c r="Q20" i="9"/>
  <c r="P22" i="9" l="1"/>
  <c r="J22" i="9"/>
  <c r="S20" i="9"/>
  <c r="M20" i="9"/>
  <c r="G20" i="9"/>
  <c r="D22" i="9"/>
  <c r="R21" i="9"/>
  <c r="T21" i="9"/>
  <c r="A23" i="9"/>
  <c r="B23" i="9" s="1"/>
  <c r="C24" i="9" s="1"/>
  <c r="L21" i="9"/>
  <c r="N21" i="9"/>
  <c r="F21" i="9"/>
  <c r="H21" i="9"/>
  <c r="Q21" i="9"/>
  <c r="K21" i="9"/>
  <c r="U23" i="9"/>
  <c r="I23" i="9"/>
  <c r="E21" i="9"/>
  <c r="O23" i="9"/>
  <c r="P23" i="9" l="1"/>
  <c r="R23" i="9" s="1"/>
  <c r="G21" i="9"/>
  <c r="J23" i="9"/>
  <c r="M21" i="9"/>
  <c r="D23" i="9"/>
  <c r="S21" i="9"/>
  <c r="A24" i="9"/>
  <c r="B24" i="9" s="1"/>
  <c r="C25" i="9" s="1"/>
  <c r="F22" i="9"/>
  <c r="H22" i="9"/>
  <c r="N22" i="9"/>
  <c r="L22" i="9"/>
  <c r="T22" i="9"/>
  <c r="R22" i="9"/>
  <c r="Q23" i="9"/>
  <c r="K22" i="9"/>
  <c r="Q22" i="9"/>
  <c r="I24" i="9"/>
  <c r="O24" i="9"/>
  <c r="E22" i="9"/>
  <c r="U24" i="9"/>
  <c r="T23" i="9" l="1"/>
  <c r="S23" i="9" s="1"/>
  <c r="J24" i="9"/>
  <c r="L24" i="9" s="1"/>
  <c r="P24" i="9"/>
  <c r="R24" i="9" s="1"/>
  <c r="S22" i="9"/>
  <c r="M22" i="9"/>
  <c r="G22" i="9"/>
  <c r="D24" i="9"/>
  <c r="A25" i="9"/>
  <c r="B25" i="9" s="1"/>
  <c r="C26" i="9" s="1"/>
  <c r="F23" i="9"/>
  <c r="H23" i="9"/>
  <c r="L23" i="9"/>
  <c r="N23" i="9"/>
  <c r="K24" i="9"/>
  <c r="Q24" i="9"/>
  <c r="K23" i="9"/>
  <c r="I25" i="9"/>
  <c r="E23" i="9"/>
  <c r="U25" i="9"/>
  <c r="O25" i="9"/>
  <c r="T24" i="9" l="1"/>
  <c r="N24" i="9"/>
  <c r="M24" i="9" s="1"/>
  <c r="P25" i="9"/>
  <c r="R25" i="9" s="1"/>
  <c r="J25" i="9"/>
  <c r="N25" i="9" s="1"/>
  <c r="S24" i="9"/>
  <c r="M23" i="9"/>
  <c r="D25" i="9"/>
  <c r="G23" i="9"/>
  <c r="A26" i="9"/>
  <c r="B26" i="9" s="1"/>
  <c r="C27" i="9" s="1"/>
  <c r="F24" i="9"/>
  <c r="H24" i="9"/>
  <c r="Q25" i="9"/>
  <c r="E24" i="9"/>
  <c r="O26" i="9"/>
  <c r="U26" i="9"/>
  <c r="I26" i="9"/>
  <c r="L25" i="9" l="1"/>
  <c r="T25" i="9"/>
  <c r="P26" i="9"/>
  <c r="R26" i="9" s="1"/>
  <c r="J26" i="9"/>
  <c r="N26" i="9" s="1"/>
  <c r="D26" i="9"/>
  <c r="H26" i="9" s="1"/>
  <c r="S25" i="9"/>
  <c r="G24" i="9"/>
  <c r="F25" i="9"/>
  <c r="H25" i="9"/>
  <c r="A27" i="9"/>
  <c r="B27" i="9" s="1"/>
  <c r="C28" i="9" s="1"/>
  <c r="K25" i="9"/>
  <c r="E26" i="9"/>
  <c r="K26" i="9"/>
  <c r="E25" i="9"/>
  <c r="O27" i="9"/>
  <c r="U27" i="9"/>
  <c r="I27" i="9"/>
  <c r="L26" i="9" l="1"/>
  <c r="M26" i="9" s="1"/>
  <c r="T26" i="9"/>
  <c r="F26" i="9"/>
  <c r="G26" i="9" s="1"/>
  <c r="M25" i="9"/>
  <c r="P27" i="9"/>
  <c r="R27" i="9" s="1"/>
  <c r="D27" i="9"/>
  <c r="H27" i="9" s="1"/>
  <c r="J27" i="9"/>
  <c r="L27" i="9" s="1"/>
  <c r="G25" i="9"/>
  <c r="A28" i="9"/>
  <c r="B28" i="9" s="1"/>
  <c r="C29" i="9" s="1"/>
  <c r="F27" i="9"/>
  <c r="Q27" i="9"/>
  <c r="Q26" i="9"/>
  <c r="E27" i="9"/>
  <c r="I28" i="9"/>
  <c r="O28" i="9"/>
  <c r="U28" i="9"/>
  <c r="T27" i="9" l="1"/>
  <c r="S26" i="9"/>
  <c r="N27" i="9"/>
  <c r="J28" i="9"/>
  <c r="L28" i="9" s="1"/>
  <c r="P28" i="9"/>
  <c r="R28" i="9" s="1"/>
  <c r="D28" i="9"/>
  <c r="H28" i="9" s="1"/>
  <c r="G27" i="9"/>
  <c r="S27" i="9"/>
  <c r="A29" i="9"/>
  <c r="B29" i="9" s="1"/>
  <c r="C30" i="9" s="1"/>
  <c r="Q28" i="9"/>
  <c r="K28" i="9"/>
  <c r="K27" i="9"/>
  <c r="E28" i="9"/>
  <c r="U29" i="9"/>
  <c r="I29" i="9"/>
  <c r="O29" i="9"/>
  <c r="T28" i="9" l="1"/>
  <c r="S28" i="9" s="1"/>
  <c r="F28" i="9"/>
  <c r="P29" i="9"/>
  <c r="R29" i="9" s="1"/>
  <c r="N28" i="9"/>
  <c r="M28" i="9" s="1"/>
  <c r="M27" i="9"/>
  <c r="D29" i="9"/>
  <c r="F29" i="9" s="1"/>
  <c r="J29" i="9"/>
  <c r="N29" i="9" s="1"/>
  <c r="G28" i="9"/>
  <c r="A30" i="9"/>
  <c r="B30" i="9" s="1"/>
  <c r="C31" i="9" s="1"/>
  <c r="L29" i="9"/>
  <c r="Q29" i="9"/>
  <c r="K29" i="9"/>
  <c r="E29" i="9"/>
  <c r="I30" i="9"/>
  <c r="O30" i="9"/>
  <c r="U30" i="9"/>
  <c r="T29" i="9" l="1"/>
  <c r="S29" i="9" s="1"/>
  <c r="H29" i="9"/>
  <c r="G29" i="9" s="1"/>
  <c r="P30" i="9"/>
  <c r="T30" i="9" s="1"/>
  <c r="D30" i="9"/>
  <c r="H30" i="9" s="1"/>
  <c r="J30" i="9"/>
  <c r="N30" i="9" s="1"/>
  <c r="M29" i="9"/>
  <c r="A31" i="9"/>
  <c r="B31" i="9" s="1"/>
  <c r="C32" i="9" s="1"/>
  <c r="F30" i="9"/>
  <c r="Q30" i="9"/>
  <c r="K30" i="9"/>
  <c r="E30" i="9"/>
  <c r="O31" i="9"/>
  <c r="I31" i="9"/>
  <c r="U31" i="9"/>
  <c r="L30" i="9" l="1"/>
  <c r="R30" i="9"/>
  <c r="P31" i="9"/>
  <c r="T31" i="9" s="1"/>
  <c r="S30" i="9"/>
  <c r="D31" i="9"/>
  <c r="H31" i="9" s="1"/>
  <c r="J31" i="9"/>
  <c r="L31" i="9" s="1"/>
  <c r="G30" i="9"/>
  <c r="M30" i="9"/>
  <c r="R31" i="9"/>
  <c r="A32" i="9"/>
  <c r="B32" i="9" s="1"/>
  <c r="C33" i="9"/>
  <c r="K31" i="9"/>
  <c r="Q31" i="9"/>
  <c r="I32" i="9"/>
  <c r="U32" i="9"/>
  <c r="O32" i="9"/>
  <c r="P32" i="9" l="1"/>
  <c r="T32" i="9" s="1"/>
  <c r="N31" i="9"/>
  <c r="F31" i="9"/>
  <c r="S31" i="9"/>
  <c r="J32" i="9"/>
  <c r="L32" i="9" s="1"/>
  <c r="D32" i="9"/>
  <c r="F32" i="9" s="1"/>
  <c r="M31" i="9"/>
  <c r="A33" i="9"/>
  <c r="B33" i="9" s="1"/>
  <c r="C34" i="9"/>
  <c r="H32" i="9"/>
  <c r="R32" i="9"/>
  <c r="Q32" i="9"/>
  <c r="E32" i="9"/>
  <c r="E31" i="9"/>
  <c r="I33" i="9"/>
  <c r="O33" i="9"/>
  <c r="U33" i="9"/>
  <c r="P33" i="9" l="1"/>
  <c r="R33" i="9" s="1"/>
  <c r="J33" i="9"/>
  <c r="N33" i="9" s="1"/>
  <c r="S32" i="9"/>
  <c r="N32" i="9"/>
  <c r="G31" i="9"/>
  <c r="D33" i="9"/>
  <c r="H33" i="9" s="1"/>
  <c r="G32" i="9"/>
  <c r="A34" i="9"/>
  <c r="B34" i="9" s="1"/>
  <c r="C35" i="9"/>
  <c r="L33" i="9"/>
  <c r="K32" i="9"/>
  <c r="E33" i="9"/>
  <c r="Q33" i="9"/>
  <c r="K33" i="9"/>
  <c r="U34" i="9"/>
  <c r="I34" i="9"/>
  <c r="O34" i="9"/>
  <c r="T33" i="9" l="1"/>
  <c r="P34" i="9"/>
  <c r="T34" i="9" s="1"/>
  <c r="J34" i="9"/>
  <c r="N34" i="9" s="1"/>
  <c r="M32" i="9"/>
  <c r="S33" i="9"/>
  <c r="M33" i="9"/>
  <c r="F33" i="9"/>
  <c r="D34" i="9"/>
  <c r="H34" i="9" s="1"/>
  <c r="G33" i="9"/>
  <c r="A35" i="9"/>
  <c r="B35" i="9" s="1"/>
  <c r="C36" i="9" s="1"/>
  <c r="L34" i="9"/>
  <c r="R34" i="9"/>
  <c r="Q34" i="9"/>
  <c r="K34" i="9"/>
  <c r="E34" i="9"/>
  <c r="I35" i="9"/>
  <c r="U35" i="9"/>
  <c r="O35" i="9"/>
  <c r="F34" i="9" l="1"/>
  <c r="P35" i="9"/>
  <c r="T35" i="9" s="1"/>
  <c r="J35" i="9"/>
  <c r="L35" i="9" s="1"/>
  <c r="S34" i="9"/>
  <c r="M34" i="9"/>
  <c r="D35" i="9"/>
  <c r="H35" i="9" s="1"/>
  <c r="G34" i="9"/>
  <c r="N35" i="9"/>
  <c r="A36" i="9"/>
  <c r="B36" i="9" s="1"/>
  <c r="P36" i="9"/>
  <c r="C37" i="9"/>
  <c r="F35" i="9"/>
  <c r="Q35" i="9"/>
  <c r="E35" i="9"/>
  <c r="K35" i="9"/>
  <c r="I36" i="9"/>
  <c r="O36" i="9"/>
  <c r="U36" i="9"/>
  <c r="R35" i="9" l="1"/>
  <c r="J36" i="9"/>
  <c r="L36" i="9" s="1"/>
  <c r="M35" i="9"/>
  <c r="S35" i="9"/>
  <c r="D36" i="9"/>
  <c r="H36" i="9" s="1"/>
  <c r="G35" i="9"/>
  <c r="P37" i="9"/>
  <c r="A37" i="9"/>
  <c r="B37" i="9" s="1"/>
  <c r="C38" i="9" s="1"/>
  <c r="F36" i="9"/>
  <c r="T36" i="9"/>
  <c r="R36" i="9"/>
  <c r="N36" i="9"/>
  <c r="Q36" i="9"/>
  <c r="E36" i="9"/>
  <c r="K36" i="9"/>
  <c r="I37" i="9"/>
  <c r="O37" i="9"/>
  <c r="U37" i="9"/>
  <c r="J37" i="9" l="1"/>
  <c r="L37" i="9" s="1"/>
  <c r="M36" i="9"/>
  <c r="S36" i="9"/>
  <c r="D37" i="9"/>
  <c r="F37" i="9" s="1"/>
  <c r="G36" i="9"/>
  <c r="P38" i="9"/>
  <c r="A38" i="9"/>
  <c r="B38" i="9" s="1"/>
  <c r="C39" i="9" s="1"/>
  <c r="H37" i="9"/>
  <c r="R37" i="9"/>
  <c r="T37" i="9"/>
  <c r="Q37" i="9"/>
  <c r="K37" i="9"/>
  <c r="U38" i="9"/>
  <c r="O38" i="9"/>
  <c r="I38" i="9"/>
  <c r="N37" i="9" l="1"/>
  <c r="J38" i="9"/>
  <c r="N38" i="9" s="1"/>
  <c r="S37" i="9"/>
  <c r="M37" i="9"/>
  <c r="D38" i="9"/>
  <c r="F38" i="9" s="1"/>
  <c r="P39" i="9"/>
  <c r="A39" i="9"/>
  <c r="B39" i="9" s="1"/>
  <c r="C40" i="9" s="1"/>
  <c r="T38" i="9"/>
  <c r="R38" i="9"/>
  <c r="Q38" i="9"/>
  <c r="E37" i="9"/>
  <c r="K38" i="9"/>
  <c r="E38" i="9"/>
  <c r="U39" i="9"/>
  <c r="I39" i="9"/>
  <c r="O39" i="9"/>
  <c r="H38" i="9" l="1"/>
  <c r="L38" i="9"/>
  <c r="M38" i="9" s="1"/>
  <c r="J39" i="9"/>
  <c r="N39" i="9" s="1"/>
  <c r="D39" i="9"/>
  <c r="F39" i="9" s="1"/>
  <c r="G37" i="9"/>
  <c r="S38" i="9"/>
  <c r="G38" i="9"/>
  <c r="P40" i="9"/>
  <c r="A40" i="9"/>
  <c r="B40" i="9" s="1"/>
  <c r="C41" i="9"/>
  <c r="L39" i="9"/>
  <c r="H39" i="9"/>
  <c r="T39" i="9"/>
  <c r="R39" i="9"/>
  <c r="Q39" i="9"/>
  <c r="E39" i="9"/>
  <c r="K39" i="9"/>
  <c r="U40" i="9"/>
  <c r="O40" i="9"/>
  <c r="I40" i="9"/>
  <c r="D40" i="9" l="1"/>
  <c r="F40" i="9" s="1"/>
  <c r="J40" i="9"/>
  <c r="N40" i="9" s="1"/>
  <c r="S39" i="9"/>
  <c r="G39" i="9"/>
  <c r="M39" i="9"/>
  <c r="T40" i="9"/>
  <c r="R40" i="9"/>
  <c r="P41" i="9"/>
  <c r="J41" i="9"/>
  <c r="A41" i="9"/>
  <c r="B41" i="9" s="1"/>
  <c r="C42" i="9"/>
  <c r="L40" i="9"/>
  <c r="Q40" i="9"/>
  <c r="K40" i="9"/>
  <c r="E40" i="9"/>
  <c r="U41" i="9"/>
  <c r="O41" i="9"/>
  <c r="I41" i="9"/>
  <c r="H40" i="9" l="1"/>
  <c r="D41" i="9"/>
  <c r="H41" i="9" s="1"/>
  <c r="G40" i="9"/>
  <c r="M40" i="9"/>
  <c r="S40" i="9"/>
  <c r="F41" i="9"/>
  <c r="P42" i="9"/>
  <c r="J42" i="9"/>
  <c r="A42" i="9"/>
  <c r="B42" i="9" s="1"/>
  <c r="C43" i="9"/>
  <c r="N41" i="9"/>
  <c r="L41" i="9"/>
  <c r="T41" i="9"/>
  <c r="R41" i="9"/>
  <c r="K41" i="9"/>
  <c r="Q41" i="9"/>
  <c r="E41" i="9"/>
  <c r="I42" i="9"/>
  <c r="U42" i="9"/>
  <c r="O42" i="9"/>
  <c r="D42" i="9" l="1"/>
  <c r="H42" i="9" s="1"/>
  <c r="S41" i="9"/>
  <c r="G41" i="9"/>
  <c r="M41" i="9"/>
  <c r="P43" i="9"/>
  <c r="J43" i="9"/>
  <c r="A43" i="9"/>
  <c r="B43" i="9" s="1"/>
  <c r="C44" i="9" s="1"/>
  <c r="N42" i="9"/>
  <c r="L42" i="9"/>
  <c r="R42" i="9"/>
  <c r="T42" i="9"/>
  <c r="K42" i="9"/>
  <c r="Q42" i="9"/>
  <c r="E42" i="9"/>
  <c r="O43" i="9"/>
  <c r="I43" i="9"/>
  <c r="U43" i="9"/>
  <c r="F42" i="9" l="1"/>
  <c r="D43" i="9"/>
  <c r="H43" i="9" s="1"/>
  <c r="S42" i="9"/>
  <c r="M42" i="9"/>
  <c r="G42" i="9"/>
  <c r="F43" i="9"/>
  <c r="P44" i="9"/>
  <c r="J44" i="9"/>
  <c r="A44" i="9"/>
  <c r="B44" i="9" s="1"/>
  <c r="C45" i="9"/>
  <c r="N43" i="9"/>
  <c r="L43" i="9"/>
  <c r="R43" i="9"/>
  <c r="T43" i="9"/>
  <c r="K43" i="9"/>
  <c r="Q43" i="9"/>
  <c r="E43" i="9"/>
  <c r="I44" i="9"/>
  <c r="U44" i="9"/>
  <c r="O44" i="9"/>
  <c r="D44" i="9" l="1"/>
  <c r="H44" i="9" s="1"/>
  <c r="G43" i="9"/>
  <c r="S43" i="9"/>
  <c r="M43" i="9"/>
  <c r="P45" i="9"/>
  <c r="J45" i="9"/>
  <c r="A45" i="9"/>
  <c r="B45" i="9" s="1"/>
  <c r="C46" i="9"/>
  <c r="N44" i="9"/>
  <c r="L44" i="9"/>
  <c r="R44" i="9"/>
  <c r="T44" i="9"/>
  <c r="F44" i="9"/>
  <c r="K44" i="9"/>
  <c r="Q44" i="9"/>
  <c r="E44" i="9"/>
  <c r="O45" i="9"/>
  <c r="I45" i="9"/>
  <c r="U45" i="9"/>
  <c r="D45" i="9" l="1"/>
  <c r="F45" i="9" s="1"/>
  <c r="S44" i="9"/>
  <c r="M44" i="9"/>
  <c r="G44" i="9"/>
  <c r="H45" i="9"/>
  <c r="P46" i="9"/>
  <c r="B46" i="9"/>
  <c r="J46" i="9"/>
  <c r="D46" i="9"/>
  <c r="A46" i="9"/>
  <c r="C47" i="9"/>
  <c r="N45" i="9"/>
  <c r="L45" i="9"/>
  <c r="R45" i="9"/>
  <c r="T45" i="9"/>
  <c r="K45" i="9"/>
  <c r="Q45" i="9"/>
  <c r="E45" i="9"/>
  <c r="U46" i="9"/>
  <c r="O46" i="9"/>
  <c r="I46" i="9"/>
  <c r="G45" i="9" l="1"/>
  <c r="S45" i="9"/>
  <c r="M45" i="9"/>
  <c r="N46" i="9"/>
  <c r="L46" i="9"/>
  <c r="R46" i="9"/>
  <c r="T46" i="9"/>
  <c r="P47" i="9"/>
  <c r="B47" i="9"/>
  <c r="J47" i="9"/>
  <c r="D47" i="9"/>
  <c r="A47" i="9"/>
  <c r="C48" i="9"/>
  <c r="H46" i="9"/>
  <c r="F46" i="9"/>
  <c r="K46" i="9"/>
  <c r="Q46" i="9"/>
  <c r="E46" i="9"/>
  <c r="U47" i="9"/>
  <c r="O47" i="9"/>
  <c r="I47" i="9"/>
  <c r="G46" i="9" l="1"/>
  <c r="S46" i="9"/>
  <c r="M46" i="9"/>
  <c r="H47" i="9"/>
  <c r="F47" i="9"/>
  <c r="P48" i="9"/>
  <c r="B48" i="9"/>
  <c r="J48" i="9"/>
  <c r="D48" i="9"/>
  <c r="A48" i="9"/>
  <c r="C49" i="9"/>
  <c r="N47" i="9"/>
  <c r="L47" i="9"/>
  <c r="R47" i="9"/>
  <c r="T47" i="9"/>
  <c r="K47" i="9"/>
  <c r="Q47" i="9"/>
  <c r="E47" i="9"/>
  <c r="O48" i="9"/>
  <c r="U48" i="9"/>
  <c r="I48" i="9"/>
  <c r="G47" i="9" l="1"/>
  <c r="S47" i="9"/>
  <c r="M47" i="9"/>
  <c r="P49" i="9"/>
  <c r="B49" i="9"/>
  <c r="J49" i="9"/>
  <c r="D49" i="9"/>
  <c r="A49" i="9"/>
  <c r="C50" i="9"/>
  <c r="N48" i="9"/>
  <c r="L48" i="9"/>
  <c r="R48" i="9"/>
  <c r="T48" i="9"/>
  <c r="H48" i="9"/>
  <c r="F48" i="9"/>
  <c r="K48" i="9"/>
  <c r="Q48" i="9"/>
  <c r="E48" i="9"/>
  <c r="U49" i="9"/>
  <c r="O49" i="9"/>
  <c r="I49" i="9"/>
  <c r="G48" i="9" l="1"/>
  <c r="S48" i="9"/>
  <c r="M48" i="9"/>
  <c r="H49" i="9"/>
  <c r="F49" i="9"/>
  <c r="P50" i="9"/>
  <c r="D50" i="9"/>
  <c r="A50" i="9"/>
  <c r="J50" i="9"/>
  <c r="B50" i="9"/>
  <c r="N49" i="9"/>
  <c r="L49" i="9"/>
  <c r="R49" i="9"/>
  <c r="T49" i="9"/>
  <c r="Q49" i="9"/>
  <c r="E49" i="9"/>
  <c r="K49" i="9"/>
  <c r="I50" i="9"/>
  <c r="O50" i="9"/>
  <c r="U50" i="9"/>
  <c r="M49" i="9" l="1"/>
  <c r="G49" i="9"/>
  <c r="S49" i="9"/>
  <c r="R50" i="9"/>
  <c r="T50" i="9"/>
  <c r="N50" i="9"/>
  <c r="L50" i="9"/>
  <c r="H50" i="9"/>
  <c r="F50" i="9"/>
  <c r="Q50" i="9"/>
  <c r="K50" i="9"/>
  <c r="E50" i="9"/>
  <c r="G50" i="9" l="1"/>
  <c r="G53" i="9" s="1"/>
  <c r="M50" i="9"/>
  <c r="M53" i="9" s="1"/>
  <c r="S50" i="9"/>
  <c r="S53" i="9" s="1"/>
</calcChain>
</file>

<file path=xl/comments1.xml><?xml version="1.0" encoding="utf-8"?>
<comments xmlns="http://schemas.openxmlformats.org/spreadsheetml/2006/main">
  <authors>
    <author>SC Chapman</author>
  </authors>
  <commentList>
    <comment ref="B2" authorId="0">
      <text>
        <r>
          <rPr>
            <sz val="9"/>
            <color indexed="81"/>
            <rFont val="Tahoma"/>
          </rPr>
          <t>Table 3-7</t>
        </r>
      </text>
    </comment>
    <comment ref="C2" authorId="0">
      <text>
        <r>
          <rPr>
            <sz val="9"/>
            <color indexed="81"/>
            <rFont val="Tahoma"/>
          </rPr>
          <t>Table 3-6</t>
        </r>
      </text>
    </comment>
    <comment ref="D2" authorId="0">
      <text>
        <r>
          <rPr>
            <sz val="9"/>
            <color indexed="81"/>
            <rFont val="Tahoma"/>
          </rPr>
          <t>Table 3-15</t>
        </r>
      </text>
    </comment>
    <comment ref="O2" authorId="0">
      <text>
        <r>
          <rPr>
            <sz val="9"/>
            <color indexed="81"/>
            <rFont val="Tahoma"/>
          </rPr>
          <t>Table 3-7</t>
        </r>
      </text>
    </comment>
    <comment ref="P2" authorId="0">
      <text>
        <r>
          <rPr>
            <sz val="9"/>
            <color indexed="81"/>
            <rFont val="Tahoma"/>
          </rPr>
          <t>Table 3-6</t>
        </r>
      </text>
    </comment>
    <comment ref="Q2" authorId="0">
      <text>
        <r>
          <rPr>
            <sz val="9"/>
            <color indexed="81"/>
            <rFont val="Tahoma"/>
          </rPr>
          <t>Table 3-15</t>
        </r>
      </text>
    </comment>
  </commentList>
</comments>
</file>

<file path=xl/sharedStrings.xml><?xml version="1.0" encoding="utf-8"?>
<sst xmlns="http://schemas.openxmlformats.org/spreadsheetml/2006/main" count="124" uniqueCount="90">
  <si>
    <t>e</t>
  </si>
  <si>
    <t>f</t>
  </si>
  <si>
    <t>MRG</t>
  </si>
  <si>
    <t>Rmin</t>
  </si>
  <si>
    <t>Rpi</t>
  </si>
  <si>
    <t>hPI</t>
  </si>
  <si>
    <t>S1</t>
  </si>
  <si>
    <t>S2</t>
  </si>
  <si>
    <t>MO</t>
  </si>
  <si>
    <t xml:space="preserve">Rmin = </t>
  </si>
  <si>
    <t xml:space="preserve">Rpi = </t>
  </si>
  <si>
    <t xml:space="preserve">hPI = </t>
  </si>
  <si>
    <t xml:space="preserve">S1 = </t>
  </si>
  <si>
    <t xml:space="preserve">S2 = </t>
  </si>
  <si>
    <t xml:space="preserve">MO = </t>
  </si>
  <si>
    <t>Speed (km/h)</t>
  </si>
  <si>
    <t>Vr (km/h)</t>
  </si>
  <si>
    <t>pmin</t>
  </si>
  <si>
    <t>C</t>
  </si>
  <si>
    <t>pmax</t>
  </si>
  <si>
    <t>Equation 3-13</t>
  </si>
  <si>
    <t>Current eMax =</t>
  </si>
  <si>
    <t>Speed (MPH)</t>
  </si>
  <si>
    <t>Vr (MPH)</t>
  </si>
  <si>
    <t>Equation 3-14</t>
  </si>
  <si>
    <t>Equation 3-15</t>
  </si>
  <si>
    <t># Lanes</t>
  </si>
  <si>
    <r>
      <t>n</t>
    </r>
    <r>
      <rPr>
        <vertAlign val="subscript"/>
        <sz val="10"/>
        <rFont val="Arial"/>
        <family val="2"/>
      </rPr>
      <t>l</t>
    </r>
    <r>
      <rPr>
        <sz val="10"/>
        <rFont val="Arial"/>
      </rPr>
      <t>b</t>
    </r>
    <r>
      <rPr>
        <vertAlign val="subscript"/>
        <sz val="10"/>
        <rFont val="Arial"/>
        <family val="2"/>
      </rPr>
      <t>w</t>
    </r>
  </si>
  <si>
    <t>Lanes_adj</t>
  </si>
  <si>
    <t>Deg of Curv</t>
  </si>
  <si>
    <r>
      <t>L</t>
    </r>
    <r>
      <rPr>
        <b/>
        <vertAlign val="subscript"/>
        <sz val="10"/>
        <rFont val="Arial"/>
        <family val="2"/>
      </rPr>
      <t>r</t>
    </r>
  </si>
  <si>
    <t>Calc. e</t>
  </si>
  <si>
    <r>
      <t>R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 xml:space="preserve"> =</t>
    </r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</si>
  <si>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</rPr>
      <t>(des) =</t>
    </r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</si>
  <si>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(min)</t>
    </r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</si>
  <si>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(max)</t>
    </r>
  </si>
  <si>
    <t>Metric</t>
  </si>
  <si>
    <t>Constants</t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</si>
  <si>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(best)</t>
    </r>
  </si>
  <si>
    <t>US Customary</t>
  </si>
  <si>
    <t>DxR</t>
  </si>
  <si>
    <t>_num</t>
  </si>
  <si>
    <t>round</t>
  </si>
  <si>
    <t>Ls</t>
  </si>
  <si>
    <t>Superelevation rounding</t>
  </si>
  <si>
    <t>Ls(des)</t>
  </si>
  <si>
    <t>Ls(des) =</t>
  </si>
  <si>
    <t>Speed2</t>
  </si>
  <si>
    <t>Speed3</t>
  </si>
  <si>
    <t>Is this Metric?</t>
  </si>
  <si>
    <t>Radius list toggle</t>
  </si>
  <si>
    <t>Variables</t>
  </si>
  <si>
    <r>
      <t>Min. L</t>
    </r>
    <r>
      <rPr>
        <vertAlign val="subscript"/>
        <sz val="10"/>
        <rFont val="Arial"/>
        <family val="2"/>
      </rPr>
      <t>s</t>
    </r>
    <r>
      <rPr>
        <sz val="10"/>
        <rFont val="Arial"/>
      </rPr>
      <t>(best) occurs at R =</t>
    </r>
  </si>
  <si>
    <r>
      <t>Calc. R</t>
    </r>
    <r>
      <rPr>
        <vertAlign val="subscript"/>
        <sz val="10"/>
        <rFont val="Arial"/>
        <family val="2"/>
      </rPr>
      <t>max</t>
    </r>
    <r>
      <rPr>
        <sz val="10"/>
        <rFont val="Arial"/>
      </rPr>
      <t xml:space="preserve"> for spiral use =</t>
    </r>
  </si>
  <si>
    <t>lat_accel</t>
  </si>
  <si>
    <t>Beginning R</t>
  </si>
  <si>
    <t>Beginning D</t>
  </si>
  <si>
    <t>▼ R_List</t>
  </si>
  <si>
    <t>Degree of Curvature used?</t>
  </si>
  <si>
    <t>Incr</t>
  </si>
  <si>
    <t>Incr_DC</t>
  </si>
  <si>
    <t>Equations</t>
  </si>
  <si>
    <t>V^2 / [127 * (eMax + f)]</t>
  </si>
  <si>
    <t>Vr^2 / (127 * eMax)</t>
  </si>
  <si>
    <t>eMax * [(V / Vr)^2 - 1]</t>
  </si>
  <si>
    <t>hPI * Rpi / DxR</t>
  </si>
  <si>
    <r>
      <t xml:space="preserve">US Customary </t>
    </r>
    <r>
      <rPr>
        <i/>
        <u/>
        <sz val="10"/>
        <rFont val="Arial"/>
        <family val="2"/>
      </rPr>
      <t>(if different)</t>
    </r>
  </si>
  <si>
    <t xml:space="preserve">e = </t>
  </si>
  <si>
    <t>(f - hPI) / [DxR * (1/Rmin - 1/Rpi)]</t>
  </si>
  <si>
    <t>1 / RPI * (1/Rmin - 1/Rpi) * (S2 - S1) / 2 * Rmin</t>
  </si>
  <si>
    <t>MO * [(1/Rmin - 1/R) / (1/Rmin - 1/Rpi)]^2 + hPI + DxR * S2 * (1/R - 1/Rpi)</t>
  </si>
  <si>
    <t>MO * (Rpi / R)^2 + DxR * S1 / R</t>
  </si>
  <si>
    <t>Equation 3-21</t>
  </si>
  <si>
    <t>s Travel time on curve (Green Book value is 2 sec)</t>
  </si>
  <si>
    <t>Green Book values are 1.3 [4.25]</t>
  </si>
  <si>
    <r>
      <t>Max L</t>
    </r>
    <r>
      <rPr>
        <vertAlign val="subscript"/>
        <sz val="10"/>
        <rFont val="Arial"/>
        <family val="2"/>
      </rPr>
      <t>s</t>
    </r>
    <r>
      <rPr>
        <sz val="10"/>
        <rFont val="Arial"/>
      </rPr>
      <t xml:space="preserve"> using 4 sec rule =</t>
    </r>
  </si>
  <si>
    <t>Desirable Spiral Length</t>
  </si>
  <si>
    <t>US_Customary</t>
  </si>
  <si>
    <t>PDDM</t>
  </si>
  <si>
    <t>Equation 3-8</t>
  </si>
  <si>
    <t>Equation 3-11</t>
  </si>
  <si>
    <t>Equation 3-12</t>
  </si>
  <si>
    <t>Equation 3-19</t>
  </si>
  <si>
    <r>
      <t>(eMax + f) * Rmin / R - f</t>
    </r>
    <r>
      <rPr>
        <vertAlign val="subscript"/>
        <sz val="10"/>
        <rFont val="Arial"/>
        <family val="2"/>
      </rPr>
      <t>1</t>
    </r>
  </si>
  <si>
    <r>
      <t>(eMax + f) * Rmin / R - f</t>
    </r>
    <r>
      <rPr>
        <vertAlign val="subscript"/>
        <sz val="10"/>
        <rFont val="Arial"/>
        <family val="2"/>
      </rPr>
      <t>2</t>
    </r>
  </si>
  <si>
    <t>Equation 3-22</t>
  </si>
  <si>
    <t>Equation 3-20</t>
  </si>
  <si>
    <r>
      <t>For 1/R &gt; 1/Rpi,  f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</si>
  <si>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For 1/R ≤ 1/Rpi,  f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</si>
  <si>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Table 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</si>
</sst>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[$€-2]* #,##0.00_);_([$€-2]* \(#,##0.00\);_([$€-2]* &quot;-&quot;??_)"/>
    <numFmt numFmtId="165" formatCode="[h]\°\ m\'\ ss\&quot;"/>
    <numFmt numFmtId="166" formatCode="0.0%"/>
    <numFmt numFmtId="167" formatCode="0.0####%"/>
    <numFmt numFmtId="168" formatCode="&quot;V = &quot;0"/>
    <numFmt numFmtId="169" formatCode="\N\C\ \=\ 0.00%"/>
    <numFmt numFmtId="170" formatCode="\(General"/>
    <numFmt numFmtId="171" formatCode="&quot;eMax = &quot;0%"/>
    <numFmt numFmtId="172" formatCode="&quot;# Lanes = &quot;General"/>
    <numFmt numFmtId="173" formatCode="&quot;Used &quot;General"/>
    <numFmt numFmtId="174" formatCode="0;;&quot;&quot;"/>
  </numFmts>
  <fonts count="2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</font>
    <font>
      <vertAlign val="subscript"/>
      <sz val="10"/>
      <name val="Arial"/>
      <family val="2"/>
    </font>
    <font>
      <sz val="8"/>
      <color indexed="44"/>
      <name val="Arial"/>
      <family val="2"/>
    </font>
    <font>
      <sz val="10"/>
      <color indexed="44"/>
      <name val="Arial"/>
      <family val="2"/>
    </font>
    <font>
      <b/>
      <vertAlign val="subscript"/>
      <sz val="10"/>
      <name val="Arial"/>
      <family val="2"/>
    </font>
    <font>
      <b/>
      <sz val="10"/>
      <color indexed="58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</font>
    <font>
      <sz val="9"/>
      <color indexed="81"/>
      <name val="Tahoma"/>
    </font>
    <font>
      <b/>
      <sz val="10"/>
      <color indexed="20"/>
      <name val="Arial"/>
      <family val="2"/>
    </font>
    <font>
      <b/>
      <sz val="12"/>
      <color indexed="18"/>
      <name val="Arial"/>
      <family val="2"/>
    </font>
    <font>
      <b/>
      <sz val="10"/>
      <color indexed="49"/>
      <name val="Arial"/>
      <family val="2"/>
    </font>
    <font>
      <b/>
      <sz val="10"/>
      <color indexed="50"/>
      <name val="Arial"/>
      <family val="2"/>
    </font>
    <font>
      <i/>
      <u/>
      <sz val="10"/>
      <name val="Arial"/>
      <family val="2"/>
    </font>
    <font>
      <sz val="10"/>
      <color indexed="5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 style="mediumDashed">
        <color indexed="56"/>
      </left>
      <right/>
      <top style="mediumDashed">
        <color indexed="56"/>
      </top>
      <bottom/>
      <diagonal/>
    </border>
    <border>
      <left/>
      <right style="mediumDashed">
        <color indexed="56"/>
      </right>
      <top style="mediumDashed">
        <color indexed="56"/>
      </top>
      <bottom/>
      <diagonal/>
    </border>
    <border>
      <left style="mediumDashed">
        <color indexed="56"/>
      </left>
      <right/>
      <top/>
      <bottom/>
      <diagonal/>
    </border>
    <border>
      <left/>
      <right style="mediumDashed">
        <color indexed="56"/>
      </right>
      <top/>
      <bottom/>
      <diagonal/>
    </border>
    <border>
      <left style="mediumDashed">
        <color indexed="56"/>
      </left>
      <right/>
      <top/>
      <bottom style="mediumDashed">
        <color indexed="56"/>
      </bottom>
      <diagonal/>
    </border>
    <border>
      <left/>
      <right style="mediumDashed">
        <color indexed="56"/>
      </right>
      <top/>
      <bottom style="mediumDashed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ed">
        <color indexed="18"/>
      </top>
      <bottom style="hair">
        <color indexed="18"/>
      </bottom>
      <diagonal/>
    </border>
    <border>
      <left/>
      <right style="mediumDashed">
        <color indexed="18"/>
      </right>
      <top style="mediumDashed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mediumDashed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mediumDashed">
        <color indexed="18"/>
      </bottom>
      <diagonal/>
    </border>
    <border>
      <left/>
      <right style="mediumDashed">
        <color indexed="18"/>
      </right>
      <top style="hair">
        <color indexed="18"/>
      </top>
      <bottom style="mediumDashed">
        <color indexed="18"/>
      </bottom>
      <diagonal/>
    </border>
    <border>
      <left style="mediumDashed">
        <color indexed="18"/>
      </left>
      <right/>
      <top style="mediumDashed">
        <color indexed="18"/>
      </top>
      <bottom style="hair">
        <color indexed="18"/>
      </bottom>
      <diagonal/>
    </border>
    <border>
      <left style="mediumDashed">
        <color indexed="18"/>
      </left>
      <right/>
      <top style="hair">
        <color indexed="18"/>
      </top>
      <bottom style="hair">
        <color indexed="18"/>
      </bottom>
      <diagonal/>
    </border>
    <border>
      <left style="mediumDashed">
        <color indexed="18"/>
      </left>
      <right/>
      <top style="hair">
        <color indexed="18"/>
      </top>
      <bottom style="mediumDashed">
        <color indexed="18"/>
      </bottom>
      <diagonal/>
    </border>
    <border>
      <left/>
      <right/>
      <top style="mediumDashed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mediumDashed">
        <color indexed="58"/>
      </bottom>
      <diagonal/>
    </border>
    <border>
      <left style="mediumDashed">
        <color indexed="58"/>
      </left>
      <right/>
      <top style="mediumDashed">
        <color indexed="58"/>
      </top>
      <bottom style="hair">
        <color indexed="58"/>
      </bottom>
      <diagonal/>
    </border>
    <border>
      <left style="mediumDashed">
        <color indexed="58"/>
      </left>
      <right/>
      <top style="hair">
        <color indexed="58"/>
      </top>
      <bottom style="hair">
        <color indexed="58"/>
      </bottom>
      <diagonal/>
    </border>
    <border>
      <left style="mediumDashed">
        <color indexed="58"/>
      </left>
      <right/>
      <top style="hair">
        <color indexed="58"/>
      </top>
      <bottom style="mediumDashed">
        <color indexed="58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12"/>
      </left>
      <right style="medium">
        <color indexed="64"/>
      </right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58"/>
      </right>
      <top style="mediumDashed">
        <color indexed="58"/>
      </top>
      <bottom style="hair">
        <color indexed="58"/>
      </bottom>
      <diagonal/>
    </border>
    <border>
      <left/>
      <right style="mediumDashed">
        <color indexed="58"/>
      </right>
      <top style="hair">
        <color indexed="58"/>
      </top>
      <bottom style="hair">
        <color indexed="58"/>
      </bottom>
      <diagonal/>
    </border>
    <border>
      <left/>
      <right style="mediumDashed">
        <color indexed="58"/>
      </right>
      <top style="hair">
        <color indexed="58"/>
      </top>
      <bottom style="mediumDashed">
        <color indexed="58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Dashed">
        <color indexed="50"/>
      </left>
      <right/>
      <top style="mediumDashed">
        <color indexed="50"/>
      </top>
      <bottom/>
      <diagonal/>
    </border>
    <border>
      <left/>
      <right style="mediumDashed">
        <color indexed="50"/>
      </right>
      <top style="mediumDashed">
        <color indexed="50"/>
      </top>
      <bottom/>
      <diagonal/>
    </border>
    <border>
      <left style="mediumDashed">
        <color indexed="50"/>
      </left>
      <right/>
      <top/>
      <bottom/>
      <diagonal/>
    </border>
    <border>
      <left/>
      <right style="mediumDashed">
        <color indexed="50"/>
      </right>
      <top/>
      <bottom/>
      <diagonal/>
    </border>
    <border>
      <left style="mediumDashed">
        <color indexed="50"/>
      </left>
      <right/>
      <top/>
      <bottom style="mediumDashed">
        <color indexed="50"/>
      </bottom>
      <diagonal/>
    </border>
    <border>
      <left/>
      <right style="mediumDashed">
        <color indexed="50"/>
      </right>
      <top/>
      <bottom style="mediumDashed">
        <color indexed="50"/>
      </bottom>
      <diagonal/>
    </border>
    <border>
      <left style="mediumDashed">
        <color indexed="49"/>
      </left>
      <right/>
      <top style="mediumDashed">
        <color indexed="49"/>
      </top>
      <bottom/>
      <diagonal/>
    </border>
    <border>
      <left/>
      <right style="mediumDashed">
        <color indexed="49"/>
      </right>
      <top style="mediumDashed">
        <color indexed="49"/>
      </top>
      <bottom/>
      <diagonal/>
    </border>
    <border>
      <left style="mediumDashed">
        <color indexed="49"/>
      </left>
      <right/>
      <top/>
      <bottom/>
      <diagonal/>
    </border>
    <border>
      <left/>
      <right style="mediumDashed">
        <color indexed="49"/>
      </right>
      <top/>
      <bottom/>
      <diagonal/>
    </border>
    <border>
      <left style="mediumDashed">
        <color indexed="49"/>
      </left>
      <right/>
      <top/>
      <bottom style="mediumDashed">
        <color indexed="49"/>
      </bottom>
      <diagonal/>
    </border>
    <border>
      <left/>
      <right style="mediumDashed">
        <color indexed="49"/>
      </right>
      <top/>
      <bottom style="mediumDashed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166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/>
    <xf numFmtId="0" fontId="0" fillId="0" borderId="0" xfId="0" applyBorder="1"/>
    <xf numFmtId="167" fontId="0" fillId="0" borderId="8" xfId="0" applyNumberFormat="1" applyBorder="1" applyAlignment="1">
      <alignment horizontal="center"/>
    </xf>
    <xf numFmtId="167" fontId="5" fillId="3" borderId="0" xfId="0" applyNumberFormat="1" applyFont="1" applyFill="1" applyAlignment="1" applyProtection="1">
      <alignment horizontal="center"/>
      <protection locked="0"/>
    </xf>
    <xf numFmtId="0" fontId="0" fillId="0" borderId="7" xfId="0" applyBorder="1" applyAlignment="1"/>
    <xf numFmtId="0" fontId="5" fillId="3" borderId="0" xfId="0" applyNumberFormat="1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19" fillId="0" borderId="7" xfId="0" applyFont="1" applyBorder="1" applyAlignment="1">
      <alignment horizontal="center"/>
    </xf>
    <xf numFmtId="0" fontId="0" fillId="0" borderId="11" xfId="0" applyBorder="1"/>
    <xf numFmtId="0" fontId="0" fillId="0" borderId="0" xfId="0" applyNumberFormat="1" applyBorder="1" applyAlignment="1">
      <alignment horizontal="right"/>
    </xf>
    <xf numFmtId="0" fontId="0" fillId="5" borderId="12" xfId="0" applyFill="1" applyBorder="1" applyAlignment="1">
      <alignment horizontal="center"/>
    </xf>
    <xf numFmtId="10" fontId="0" fillId="5" borderId="12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0" fontId="0" fillId="5" borderId="1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5" borderId="16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10" fontId="0" fillId="7" borderId="21" xfId="0" applyNumberForma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0" fontId="0" fillId="7" borderId="22" xfId="0" applyNumberForma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10" fontId="0" fillId="7" borderId="23" xfId="0" applyNumberFormat="1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15" fillId="0" borderId="0" xfId="0" applyFont="1" applyAlignment="1">
      <alignment horizontal="left"/>
    </xf>
    <xf numFmtId="168" fontId="16" fillId="3" borderId="27" xfId="0" applyNumberFormat="1" applyFont="1" applyFill="1" applyBorder="1" applyProtection="1">
      <protection locked="0"/>
    </xf>
    <xf numFmtId="170" fontId="15" fillId="0" borderId="10" xfId="1" applyNumberFormat="1" applyFont="1" applyBorder="1" applyAlignment="1">
      <alignment horizontal="right"/>
    </xf>
    <xf numFmtId="167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30" xfId="0" quotePrefix="1" applyFont="1" applyBorder="1"/>
    <xf numFmtId="0" fontId="10" fillId="0" borderId="31" xfId="0" quotePrefix="1" applyFont="1" applyBorder="1"/>
    <xf numFmtId="165" fontId="5" fillId="0" borderId="29" xfId="0" applyNumberFormat="1" applyFont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/>
      <protection locked="0"/>
    </xf>
    <xf numFmtId="0" fontId="16" fillId="0" borderId="32" xfId="0" applyFont="1" applyFill="1" applyBorder="1" applyProtection="1"/>
    <xf numFmtId="0" fontId="15" fillId="0" borderId="33" xfId="0" applyFont="1" applyFill="1" applyBorder="1" applyAlignment="1" applyProtection="1">
      <alignment horizontal="right"/>
    </xf>
    <xf numFmtId="0" fontId="15" fillId="3" borderId="34" xfId="0" applyFont="1" applyFill="1" applyBorder="1" applyAlignment="1" applyProtection="1">
      <alignment horizontal="left"/>
      <protection locked="0"/>
    </xf>
    <xf numFmtId="173" fontId="15" fillId="0" borderId="35" xfId="0" applyNumberFormat="1" applyFont="1" applyFill="1" applyBorder="1" applyProtection="1"/>
    <xf numFmtId="0" fontId="15" fillId="0" borderId="36" xfId="0" applyNumberFormat="1" applyFont="1" applyFill="1" applyBorder="1" applyProtection="1"/>
    <xf numFmtId="0" fontId="0" fillId="0" borderId="37" xfId="0" applyBorder="1"/>
    <xf numFmtId="0" fontId="0" fillId="3" borderId="0" xfId="0" applyFill="1" applyAlignment="1" applyProtection="1">
      <alignment horizontal="center"/>
      <protection locked="0"/>
    </xf>
    <xf numFmtId="174" fontId="14" fillId="0" borderId="29" xfId="0" applyNumberFormat="1" applyFont="1" applyBorder="1" applyAlignment="1">
      <alignment horizontal="center"/>
    </xf>
    <xf numFmtId="174" fontId="14" fillId="0" borderId="8" xfId="0" applyNumberFormat="1" applyFont="1" applyBorder="1" applyAlignment="1">
      <alignment horizontal="center"/>
    </xf>
    <xf numFmtId="0" fontId="7" fillId="9" borderId="38" xfId="2" applyFill="1" applyBorder="1" applyAlignment="1" applyProtection="1">
      <alignment horizontal="center"/>
    </xf>
    <xf numFmtId="0" fontId="0" fillId="10" borderId="37" xfId="0" applyFill="1" applyBorder="1" applyAlignment="1">
      <alignment horizontal="centerContinuous"/>
    </xf>
    <xf numFmtId="0" fontId="0" fillId="10" borderId="0" xfId="0" applyFill="1" applyAlignment="1">
      <alignment horizontal="right"/>
    </xf>
    <xf numFmtId="0" fontId="0" fillId="10" borderId="0" xfId="0" applyFill="1"/>
    <xf numFmtId="0" fontId="13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171" fontId="16" fillId="3" borderId="42" xfId="0" applyNumberFormat="1" applyFont="1" applyFill="1" applyBorder="1" applyAlignment="1" applyProtection="1">
      <alignment horizontal="center"/>
      <protection locked="0"/>
    </xf>
    <xf numFmtId="169" fontId="15" fillId="3" borderId="42" xfId="0" applyNumberFormat="1" applyFont="1" applyFill="1" applyBorder="1" applyAlignment="1" applyProtection="1">
      <alignment horizontal="center"/>
      <protection locked="0"/>
    </xf>
    <xf numFmtId="172" fontId="15" fillId="3" borderId="43" xfId="0" applyNumberFormat="1" applyFont="1" applyFill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 shrinkToFit="1"/>
    </xf>
    <xf numFmtId="0" fontId="2" fillId="0" borderId="45" xfId="0" applyFont="1" applyBorder="1" applyAlignment="1">
      <alignment horizontal="center"/>
    </xf>
    <xf numFmtId="174" fontId="16" fillId="3" borderId="46" xfId="0" applyNumberFormat="1" applyFont="1" applyFill="1" applyBorder="1" applyAlignment="1" applyProtection="1">
      <alignment horizontal="center"/>
      <protection locked="0"/>
    </xf>
    <xf numFmtId="174" fontId="0" fillId="0" borderId="47" xfId="0" applyNumberFormat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2" fontId="0" fillId="7" borderId="21" xfId="0" applyNumberFormat="1" applyFill="1" applyBorder="1" applyAlignment="1">
      <alignment horizontal="center"/>
    </xf>
    <xf numFmtId="2" fontId="0" fillId="7" borderId="22" xfId="0" applyNumberFormat="1" applyFill="1" applyBorder="1" applyAlignment="1">
      <alignment horizontal="center"/>
    </xf>
    <xf numFmtId="2" fontId="0" fillId="7" borderId="23" xfId="0" applyNumberFormat="1" applyFill="1" applyBorder="1" applyAlignment="1">
      <alignment horizontal="center"/>
    </xf>
    <xf numFmtId="174" fontId="14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74" fontId="0" fillId="0" borderId="48" xfId="0" applyNumberFormat="1" applyBorder="1" applyAlignment="1">
      <alignment horizontal="center"/>
    </xf>
    <xf numFmtId="174" fontId="14" fillId="0" borderId="49" xfId="0" applyNumberFormat="1" applyFont="1" applyBorder="1" applyAlignment="1">
      <alignment horizontal="center"/>
    </xf>
    <xf numFmtId="165" fontId="5" fillId="0" borderId="49" xfId="0" applyNumberFormat="1" applyFont="1" applyBorder="1" applyAlignment="1">
      <alignment horizontal="center"/>
    </xf>
    <xf numFmtId="174" fontId="0" fillId="0" borderId="50" xfId="0" applyNumberFormat="1" applyBorder="1" applyAlignment="1">
      <alignment horizontal="center"/>
    </xf>
    <xf numFmtId="167" fontId="0" fillId="0" borderId="49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10" fillId="0" borderId="51" xfId="0" quotePrefix="1" applyFont="1" applyBorder="1"/>
    <xf numFmtId="1" fontId="5" fillId="0" borderId="52" xfId="0" applyNumberFormat="1" applyFont="1" applyBorder="1" applyAlignment="1">
      <alignment horizontal="center"/>
    </xf>
    <xf numFmtId="165" fontId="0" fillId="0" borderId="0" xfId="0" applyNumberFormat="1"/>
    <xf numFmtId="0" fontId="0" fillId="7" borderId="53" xfId="0" applyNumberFormat="1" applyFill="1" applyBorder="1"/>
    <xf numFmtId="0" fontId="0" fillId="7" borderId="54" xfId="0" applyNumberFormat="1" applyFill="1" applyBorder="1"/>
    <xf numFmtId="0" fontId="0" fillId="7" borderId="55" xfId="0" applyNumberFormat="1" applyFill="1" applyBorder="1"/>
    <xf numFmtId="174" fontId="0" fillId="0" borderId="46" xfId="0" applyNumberFormat="1" applyBorder="1" applyAlignment="1">
      <alignment horizontal="center"/>
    </xf>
    <xf numFmtId="167" fontId="0" fillId="0" borderId="29" xfId="0" applyNumberFormat="1" applyBorder="1" applyAlignment="1">
      <alignment horizontal="center"/>
    </xf>
    <xf numFmtId="174" fontId="13" fillId="3" borderId="56" xfId="0" applyNumberFormat="1" applyFont="1" applyFill="1" applyBorder="1" applyAlignment="1" applyProtection="1">
      <alignment horizontal="center"/>
      <protection locked="0"/>
    </xf>
    <xf numFmtId="165" fontId="5" fillId="0" borderId="56" xfId="0" applyNumberFormat="1" applyFont="1" applyBorder="1" applyAlignment="1">
      <alignment horizontal="center"/>
    </xf>
    <xf numFmtId="174" fontId="0" fillId="0" borderId="57" xfId="0" applyNumberFormat="1" applyBorder="1" applyAlignment="1">
      <alignment horizontal="center"/>
    </xf>
    <xf numFmtId="167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10" fillId="0" borderId="58" xfId="0" quotePrefix="1" applyFont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2" fillId="0" borderId="0" xfId="0" applyFont="1"/>
    <xf numFmtId="0" fontId="21" fillId="0" borderId="0" xfId="0" applyFont="1"/>
    <xf numFmtId="165" fontId="5" fillId="0" borderId="65" xfId="0" applyNumberFormat="1" applyFont="1" applyBorder="1" applyAlignment="1">
      <alignment horizontal="center" shrinkToFit="1"/>
    </xf>
    <xf numFmtId="165" fontId="5" fillId="0" borderId="66" xfId="0" applyNumberFormat="1" applyFont="1" applyBorder="1" applyAlignment="1">
      <alignment horizontal="center" shrinkToFit="1"/>
    </xf>
    <xf numFmtId="165" fontId="5" fillId="0" borderId="67" xfId="0" applyNumberFormat="1" applyFont="1" applyBorder="1" applyAlignment="1">
      <alignment horizontal="center" shrinkToFit="1"/>
    </xf>
    <xf numFmtId="165" fontId="5" fillId="0" borderId="68" xfId="0" applyNumberFormat="1" applyFont="1" applyBorder="1" applyAlignment="1">
      <alignment horizontal="center" shrinkToFit="1"/>
    </xf>
    <xf numFmtId="165" fontId="5" fillId="0" borderId="69" xfId="0" applyNumberFormat="1" applyFont="1" applyBorder="1" applyAlignment="1">
      <alignment horizontal="center" shrinkToFit="1"/>
    </xf>
    <xf numFmtId="165" fontId="5" fillId="0" borderId="70" xfId="0" applyNumberFormat="1" applyFont="1" applyBorder="1" applyAlignment="1">
      <alignment horizontal="center" shrinkToFit="1"/>
    </xf>
    <xf numFmtId="174" fontId="14" fillId="0" borderId="56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Continuous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174" fontId="0" fillId="0" borderId="0" xfId="0" applyNumberFormat="1"/>
    <xf numFmtId="174" fontId="0" fillId="0" borderId="44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1" xfId="0" quotePrefix="1" applyFont="1" applyBorder="1"/>
    <xf numFmtId="170" fontId="24" fillId="0" borderId="0" xfId="1" applyNumberFormat="1" applyFont="1" applyAlignment="1">
      <alignment horizontal="right"/>
    </xf>
    <xf numFmtId="0" fontId="24" fillId="0" borderId="0" xfId="0" applyFont="1" applyAlignment="1">
      <alignment horizontal="left"/>
    </xf>
    <xf numFmtId="0" fontId="12" fillId="7" borderId="0" xfId="0" applyFont="1" applyFill="1" applyBorder="1"/>
    <xf numFmtId="0" fontId="12" fillId="7" borderId="0" xfId="0" applyFont="1" applyFill="1" applyAlignment="1">
      <alignment horizontal="left"/>
    </xf>
    <xf numFmtId="0" fontId="0" fillId="11" borderId="0" xfId="0" applyFill="1"/>
    <xf numFmtId="0" fontId="16" fillId="5" borderId="10" xfId="0" applyFont="1" applyFill="1" applyBorder="1"/>
    <xf numFmtId="0" fontId="16" fillId="5" borderId="0" xfId="0" applyFont="1" applyFill="1" applyAlignment="1">
      <alignment horizontal="left"/>
    </xf>
    <xf numFmtId="0" fontId="10" fillId="0" borderId="49" xfId="0" quotePrefix="1" applyFont="1" applyBorder="1"/>
    <xf numFmtId="0" fontId="10" fillId="0" borderId="0" xfId="0" quotePrefix="1" applyFont="1" applyBorder="1"/>
    <xf numFmtId="167" fontId="0" fillId="0" borderId="71" xfId="0" applyNumberFormat="1" applyBorder="1" applyAlignment="1">
      <alignment horizontal="center"/>
    </xf>
    <xf numFmtId="0" fontId="12" fillId="7" borderId="10" xfId="0" applyFont="1" applyFill="1" applyBorder="1"/>
    <xf numFmtId="0" fontId="0" fillId="10" borderId="11" xfId="0" applyFill="1" applyBorder="1"/>
    <xf numFmtId="0" fontId="20" fillId="12" borderId="72" xfId="0" applyNumberFormat="1" applyFont="1" applyFill="1" applyBorder="1" applyAlignment="1" applyProtection="1">
      <alignment horizontal="center"/>
      <protection locked="0"/>
    </xf>
    <xf numFmtId="0" fontId="15" fillId="12" borderId="36" xfId="0" applyNumberFormat="1" applyFont="1" applyFill="1" applyBorder="1" applyAlignment="1" applyProtection="1">
      <alignment horizontal="center"/>
      <protection locked="0"/>
    </xf>
    <xf numFmtId="0" fontId="7" fillId="9" borderId="73" xfId="2" applyFill="1" applyBorder="1" applyAlignment="1" applyProtection="1">
      <alignment horizontal="center"/>
    </xf>
    <xf numFmtId="0" fontId="0" fillId="0" borderId="74" xfId="0" applyBorder="1" applyAlignment="1">
      <alignment horizontal="center"/>
    </xf>
  </cellXfs>
  <cellStyles count="3">
    <cellStyle name="Euro" xfId="1"/>
    <cellStyle name="Hyperlink" xfId="2" builtinId="8"/>
    <cellStyle name="Normal" xfId="0" builtinId="0"/>
  </cellStyles>
  <dxfs count="12">
    <dxf>
      <font>
        <condense val="0"/>
        <extend val="0"/>
        <color indexed="61"/>
      </font>
      <fill>
        <patternFill>
          <bgColor indexed="22"/>
        </patternFill>
      </fill>
    </dxf>
    <dxf>
      <font>
        <b val="0"/>
        <i/>
        <condense val="0"/>
        <extend val="0"/>
        <color indexed="20"/>
      </font>
      <fill>
        <patternFill>
          <bgColor indexed="22"/>
        </patternFill>
      </fill>
    </dxf>
    <dxf>
      <font>
        <condense val="0"/>
        <extend val="0"/>
        <color indexed="61"/>
      </font>
      <fill>
        <patternFill>
          <bgColor indexed="22"/>
        </patternFill>
      </fill>
    </dxf>
    <dxf>
      <font>
        <condense val="0"/>
        <extend val="0"/>
        <color indexed="61"/>
      </font>
      <fill>
        <patternFill>
          <bgColor indexed="22"/>
        </patternFill>
      </fill>
    </dxf>
    <dxf>
      <font>
        <condense val="0"/>
        <extend val="0"/>
        <color indexed="61"/>
      </font>
      <fill>
        <patternFill>
          <bgColor indexed="22"/>
        </patternFill>
      </fill>
    </dxf>
    <dxf>
      <font>
        <b val="0"/>
        <i val="0"/>
        <condense val="0"/>
        <extend val="0"/>
        <u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22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showRowColHeaders="0" tabSelected="1" showOutlineSymbol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9" sqref="C9"/>
    </sheetView>
  </sheetViews>
  <sheetFormatPr defaultColWidth="8.7109375" defaultRowHeight="12.75" x14ac:dyDescent="0.2"/>
  <cols>
    <col min="1" max="3" width="13.7109375" customWidth="1"/>
  </cols>
  <sheetData>
    <row r="1" spans="1:21" ht="16.5" thickBot="1" x14ac:dyDescent="0.3">
      <c r="A1" s="155" t="s">
        <v>77</v>
      </c>
      <c r="B1" s="156"/>
      <c r="C1" s="80">
        <v>0.06</v>
      </c>
      <c r="J1" s="19"/>
    </row>
    <row r="2" spans="1:21" ht="13.5" thickBot="1" x14ac:dyDescent="0.25">
      <c r="A2" s="53">
        <v>40</v>
      </c>
      <c r="B2" s="61" t="str">
        <f>IF(Metric,"km/h","mph")</f>
        <v>mph</v>
      </c>
      <c r="C2" s="81">
        <v>0.02</v>
      </c>
      <c r="J2" s="137"/>
    </row>
    <row r="3" spans="1:21" ht="15" thickBot="1" x14ac:dyDescent="0.3">
      <c r="A3" s="62" t="str">
        <f>IF(OR(B3&lt;2.4,B3&gt;16,AND(B3&gt;4.8,B3&lt;8)),"ERROR  =&gt;","Trav Lane "&amp;IF(B3&lt;8,"(m)","(ft)")&amp;" =")</f>
        <v>Trav Lane (ft) =</v>
      </c>
      <c r="B3" s="63">
        <v>12</v>
      </c>
      <c r="C3" s="82">
        <v>1</v>
      </c>
      <c r="D3" s="143">
        <f ca="1">ROUND(CONVERT(D4,IF(Metric,"km","mi"),IF(Metric,"mi","km")),0)</f>
        <v>56</v>
      </c>
      <c r="E3" s="144" t="str">
        <f>IF(Metric,"mph","km/h")&amp;")"</f>
        <v>km/h)</v>
      </c>
      <c r="F3" s="1"/>
      <c r="G3" s="72" t="s">
        <v>32</v>
      </c>
      <c r="H3" s="73">
        <f ca="1">VLOOKUP(D$4,INDIRECT("Speed"&amp;_num),6,0)</f>
        <v>340</v>
      </c>
      <c r="I3" s="73" t="str">
        <f>Length</f>
        <v>ft</v>
      </c>
      <c r="J3" s="54">
        <f ca="1">ROUND(CONVERT(J4,IF(Metric,"km","mi"),IF(Metric,"mi","km")),0)</f>
        <v>64</v>
      </c>
      <c r="K3" s="52" t="str">
        <f>IF(Metric,"mph","km/h")&amp;")"</f>
        <v>km/h)</v>
      </c>
      <c r="M3" s="72" t="s">
        <v>32</v>
      </c>
      <c r="N3" s="73">
        <f ca="1">VLOOKUP(J$4,INDIRECT("Speed"&amp;_num),6,0)</f>
        <v>485</v>
      </c>
      <c r="O3" s="73" t="str">
        <f>Length</f>
        <v>ft</v>
      </c>
      <c r="P3" s="54">
        <f ca="1">ROUND(CONVERT(P4,IF(Metric,"km","mi"),IF(Metric,"mi","km")),0)</f>
        <v>72</v>
      </c>
      <c r="Q3" s="144" t="str">
        <f>IF(Metric,"mph","km/h")&amp;")"</f>
        <v>km/h)</v>
      </c>
      <c r="S3" s="72" t="s">
        <v>32</v>
      </c>
      <c r="T3" s="73">
        <f ca="1">VLOOKUP(P$4,INDIRECT("Speed"&amp;_num),6,0)</f>
        <v>643</v>
      </c>
      <c r="U3" s="154" t="str">
        <f>Length</f>
        <v>ft</v>
      </c>
    </row>
    <row r="4" spans="1:21" ht="16.5" thickBot="1" x14ac:dyDescent="0.35">
      <c r="A4" s="64">
        <f>IF(OR(B3&lt;2.4,B3&gt;16,AND(B3&gt;4.8,B3&lt;8)),IF(Metric,3.6,12),B3*IF(ISERR(FIND(Length,A3)),IF(B4="ft",1/0.3,0.3),1))</f>
        <v>12</v>
      </c>
      <c r="B4" s="65" t="str">
        <f>IF(Metric,"m","ft")</f>
        <v>ft</v>
      </c>
      <c r="C4" s="83" t="str">
        <f>IF(Metric,HYPERLINK("#A1","Rev. 11/28/2006"),HYPERLINK("#_list",_list))</f>
        <v>▼ R_List</v>
      </c>
      <c r="D4" s="145">
        <f ca="1">IF(V&lt;SMALL(INDIRECT("Speeds"&amp;_num),2),MIN(INDIRECT("Speeds"&amp;_num)),IF(V&gt;LARGE(INDIRECT("Speeds"&amp;_num),2),LARGE(INDIRECT("Speeds"&amp;_num),3),INDEX(INDIRECT("Speeds"&amp;_num),MATCH(V,INDIRECT("Speeds"&amp;_num))-1)))</f>
        <v>35</v>
      </c>
      <c r="E4" s="146" t="str">
        <f>$B$2</f>
        <v>mph</v>
      </c>
      <c r="F4" s="1"/>
      <c r="G4" s="1" t="s">
        <v>33</v>
      </c>
      <c r="H4" s="30">
        <f ca="1">MROUND(VLOOKUP(D$4,INDIRECT("Speed"&amp;_num),5,0),Round_L)</f>
        <v>120</v>
      </c>
      <c r="I4" s="19" t="str">
        <f>Length</f>
        <v>ft</v>
      </c>
      <c r="J4" s="148">
        <f ca="1">INDEX(INDIRECT("Speeds"&amp;_num),MATCH(D4,INDIRECT("Speeds"&amp;_num))+1)</f>
        <v>40</v>
      </c>
      <c r="K4" s="149" t="str">
        <f>$B$2</f>
        <v>mph</v>
      </c>
      <c r="M4" s="1" t="s">
        <v>33</v>
      </c>
      <c r="N4" s="30">
        <f ca="1">MROUND(VLOOKUP(J$4,INDIRECT("Speed"&amp;_num),5,0),Round_L)</f>
        <v>135</v>
      </c>
      <c r="O4" s="19" t="str">
        <f>Length</f>
        <v>ft</v>
      </c>
      <c r="P4" s="153">
        <f ca="1">INDEX(INDIRECT("Speeds"&amp;_num),MATCH(J4,INDIRECT("Speeds"&amp;_num))+1)</f>
        <v>45</v>
      </c>
      <c r="Q4" s="146" t="str">
        <f>$B$2</f>
        <v>mph</v>
      </c>
      <c r="S4" s="1" t="s">
        <v>33</v>
      </c>
      <c r="T4" s="30">
        <f ca="1">MROUND(VLOOKUP(P$4,INDIRECT("Speed"&amp;_num),5,0),Round_L)</f>
        <v>150</v>
      </c>
      <c r="U4" s="29" t="str">
        <f>Length</f>
        <v>ft</v>
      </c>
    </row>
    <row r="5" spans="1:21" ht="16.5" thickBot="1" x14ac:dyDescent="0.35">
      <c r="A5" s="74" t="str">
        <f>"R ("&amp;IF(Metric,"ft","m")&amp;")"</f>
        <v>R (m)</v>
      </c>
      <c r="B5" s="75" t="s">
        <v>29</v>
      </c>
      <c r="C5" s="84" t="str">
        <f>"R ("&amp;Length&amp;")"</f>
        <v>R (ft)</v>
      </c>
      <c r="D5" s="75" t="s">
        <v>0</v>
      </c>
      <c r="E5" s="75" t="s">
        <v>30</v>
      </c>
      <c r="F5" s="77" t="s">
        <v>34</v>
      </c>
      <c r="G5" s="77" t="s">
        <v>38</v>
      </c>
      <c r="H5" s="77" t="s">
        <v>35</v>
      </c>
      <c r="I5" s="78" t="s">
        <v>31</v>
      </c>
      <c r="J5" s="76" t="s">
        <v>0</v>
      </c>
      <c r="K5" s="75" t="s">
        <v>30</v>
      </c>
      <c r="L5" s="77" t="s">
        <v>34</v>
      </c>
      <c r="M5" s="77" t="s">
        <v>38</v>
      </c>
      <c r="N5" s="77" t="s">
        <v>35</v>
      </c>
      <c r="O5" s="78" t="s">
        <v>31</v>
      </c>
      <c r="P5" s="76" t="s">
        <v>0</v>
      </c>
      <c r="Q5" s="75" t="s">
        <v>30</v>
      </c>
      <c r="R5" s="77" t="s">
        <v>34</v>
      </c>
      <c r="S5" s="77" t="s">
        <v>38</v>
      </c>
      <c r="T5" s="77" t="s">
        <v>35</v>
      </c>
      <c r="U5" s="79" t="s">
        <v>31</v>
      </c>
    </row>
    <row r="6" spans="1:21" x14ac:dyDescent="0.2">
      <c r="A6" s="97">
        <f ca="1">CONVERT(C6,Length,IF(Metric,"ft","m"))</f>
        <v>195.9864</v>
      </c>
      <c r="B6" s="98">
        <f ca="1">IF(C6&gt;0,DxR/(IF(Metric,A6,C6)*24),"")</f>
        <v>0.37127902743066354</v>
      </c>
      <c r="C6" s="99">
        <f ca="1">IF(DC_used,DxR/MROUND(DxR/VLOOKUP(P4,INDIRECT("Speed"&amp;_num),6,0),0.25),T3)</f>
        <v>643</v>
      </c>
      <c r="D6" s="100">
        <f ca="1">IF($C6&lt;MAX(H$3,MinR),"",IF(I6&lt;NC,IF(ROUND(I6,4)&gt;NC-0.005,NC,"NC"),CEILING(ROUND(I6,4),Round_e)))</f>
        <v>5.2000000000000005E-2</v>
      </c>
      <c r="E6" s="101">
        <f t="shared" ref="E6:E50" ca="1" si="0">IF(ISTEXT(D6),"",MROUND(Width*D6*VLOOKUP(Lanes,Lanes_adj,2,0)/VLOOKUP(D$4,INDIRECT("Speed"&amp;_num),4,0),Round_L))</f>
        <v>101</v>
      </c>
      <c r="F6" s="101">
        <f t="shared" ref="F6:F50" ca="1" si="1">IF(ISTEXT(D6),"",MROUND(MAX(SQRT(24*VLOOKUP("pmin",Constants,_num,0)*$C6),VLOOKUP("Ls",Constants,_num,0)*D$4^3/($C6*VLOOKUP("C",Constants,_num,0))),Round_L))</f>
        <v>101</v>
      </c>
      <c r="G6" s="101">
        <f ca="1">IF(E6="","",IF(MAX(H$4,E6)&lt;F6,IF(AND(E6&gt;H$4,F6-E6=1),F6,""),IF(MAX(H$4,E6)&gt;H6,"",MAX(H$4,E6))))</f>
        <v>120</v>
      </c>
      <c r="H6" s="101">
        <f t="shared" ref="H6:H50" ca="1" si="2">IF(ISTEXT(D6),"",MROUND(SQRT(24*VLOOKUP("pmax",Constants,_num,0)*$C6),Round_L))</f>
        <v>226</v>
      </c>
      <c r="I6" s="150">
        <f ca="1">(eMax+VLOOKUP(D$4,INDIRECT("Speed"&amp;_num),2,0))*VLOOKUP(D$4,INDIRECT("Speed"&amp;_num),6)/$C6-IF(1/$C6&gt;1/VLOOKUP(D$4,INDIRECT("Speed"&amp;_num),7,0),VLOOKUP(D$4,INDIRECT("Speed"&amp;_num),11,0)*((1/VLOOKUP(D$4,INDIRECT("Speed"&amp;_num),6,0)-1/$C6)/(1/VLOOKUP(D$4,INDIRECT("Speed"&amp;_num),6,0)-1/VLOOKUP(D$4,INDIRECT("Speed"&amp;_num),7,0)))^2+VLOOKUP(D$4,INDIRECT("Speed"&amp;_num),8,0)+VLOOKUP("DxR",Constants,_num,0)*VLOOKUP(D$4,INDIRECT("Speed"&amp;_num),10,0)*(1/$C6-1/VLOOKUP(D$4,INDIRECT("Speed"&amp;_num),7,0)),VLOOKUP(D$4,INDIRECT("Speed"&amp;_num),11,0)*(VLOOKUP(D$4,INDIRECT("Speed"&amp;_num),7,0)/$C6)^2+VLOOKUP("DxR",Constants,_num,0)*VLOOKUP(D$4,INDIRECT("Speed"&amp;_num),9,0)/$C6)</f>
        <v>5.0473056009205292E-2</v>
      </c>
      <c r="J6" s="152">
        <f ca="1">IF($C6&lt;MAX(N$3,MinR),"",IF(O6&lt;NC,IF(ROUND(O6,4)&gt;NC-0.005,NC,"NC"),CEILING(ROUND(O6,4),Round_e)))</f>
        <v>5.8000000000000003E-2</v>
      </c>
      <c r="K6" s="101">
        <f t="shared" ref="K6:K50" ca="1" si="3">IF(ISTEXT(J6),"",MROUND(Width*J6*VLOOKUP(Lanes,Lanes_adj,2,0)/VLOOKUP(J$4,INDIRECT("Speed"&amp;_num),4,0),Round_L))</f>
        <v>120</v>
      </c>
      <c r="L6" s="101">
        <f t="shared" ref="L6:L50" ca="1" si="4">IF(ISTEXT(J6),"",MROUND(MAX(SQRT(24*VLOOKUP("pmin",Constants,_num,0)*$C6),VLOOKUP("Ls",Constants,_num,0)*J$4^3/($C6*VLOOKUP("C",Constants,_num,0))),Round_L))</f>
        <v>101</v>
      </c>
      <c r="M6" s="101">
        <f t="shared" ref="M6:M50" ca="1" si="5">IF(K6="","",IF(MAX(N$4,K6)&lt;L6,IF(AND(K6&gt;N$4,L6-K6=1),L6,""),IF(MAX(N$4,K6)&gt;N6,"",MAX(N$4,K6))))</f>
        <v>135</v>
      </c>
      <c r="N6" s="101">
        <f t="shared" ref="N6:N50" ca="1" si="6">IF(ISTEXT(J6),"",MROUND(SQRT(24*VLOOKUP("pmax",Constants,_num,0)*$C6),Round_L))</f>
        <v>226</v>
      </c>
      <c r="O6" s="102">
        <f ca="1">(eMax+VLOOKUP(J$4,INDIRECT("Speed"&amp;_num),2,0))*VLOOKUP(J$4,INDIRECT("Speed"&amp;_num),6)/$C6-IF(1/$C6&gt;1/VLOOKUP(J$4,INDIRECT("Speed"&amp;_num),7,0),VLOOKUP(J$4,INDIRECT("Speed"&amp;_num),11,0)*((1/VLOOKUP(J$4,INDIRECT("Speed"&amp;_num),6,0)-1/$C6)/(1/VLOOKUP(J$4,INDIRECT("Speed"&amp;_num),6,0)-1/VLOOKUP(J$4,INDIRECT("Speed"&amp;_num),7,0)))^2+VLOOKUP(J$4,INDIRECT("Speed"&amp;_num),8,0)+VLOOKUP("DxR",Constants,_num,0)*VLOOKUP(J$4,INDIRECT("Speed"&amp;_num),10,0)*(1/$C6-1/VLOOKUP(J$4,INDIRECT("Speed"&amp;_num),7,0)),VLOOKUP(J$4,INDIRECT("Speed"&amp;_num),11,0)*(VLOOKUP(J$4,INDIRECT("Speed"&amp;_num),7,0)/$C6)^2+VLOOKUP("DxR",Constants,_num,0)*VLOOKUP(J$4,INDIRECT("Speed"&amp;_num),9,0)/$C6)</f>
        <v>5.7275667708358957E-2</v>
      </c>
      <c r="P6" s="152">
        <f ca="1">IF($C6&lt;MAX(T$3,MinR),"",IF(U6&lt;NC,IF(ROUND(U6,4)&gt;NC-0.005,NC,"NC"),CEILING(ROUND(U6,4),Round_e)))</f>
        <v>0.06</v>
      </c>
      <c r="Q6" s="101">
        <f t="shared" ref="Q6:Q50" ca="1" si="7">IF(ISTEXT(P6),"",MROUND(Width*P6*VLOOKUP(Lanes,Lanes_adj,2,0)/VLOOKUP(P$4,INDIRECT("Speed"&amp;_num),4,0),Round_L))</f>
        <v>133</v>
      </c>
      <c r="R6" s="101">
        <f t="shared" ref="R6:R50" ca="1" si="8">IF(ISTEXT(P6),"",MROUND(MAX(SQRT(24*VLOOKUP("pmin",Constants,_num,0)*$C6),VLOOKUP("Ls",Constants,_num,0)*P$4^3/($C6*VLOOKUP("C",Constants,_num,0))),Round_L))</f>
        <v>112</v>
      </c>
      <c r="S6" s="101">
        <f t="shared" ref="S6:S50" ca="1" si="9">IF(Q6="","",IF(MAX(T$4,Q6)&lt;R6,IF(AND(Q6&gt;T$4,R6-Q6=1),R6,""),IF(MAX(T$4,Q6)&gt;T6,"",MAX(T$4,Q6))))</f>
        <v>150</v>
      </c>
      <c r="T6" s="101">
        <f t="shared" ref="T6:T50" ca="1" si="10">IF(ISTEXT(P6),"",MROUND(SQRT(24*VLOOKUP("pmax",Constants,_num,0)*$C6),Round_L))</f>
        <v>226</v>
      </c>
      <c r="U6" s="102">
        <f ca="1">(eMax+VLOOKUP(P$4,INDIRECT("Speed"&amp;_num),2,0))*VLOOKUP(P$4,INDIRECT("Speed"&amp;_num),6)/$C6-IF(1/$C6&gt;1/VLOOKUP(P$4,INDIRECT("Speed"&amp;_num),7,0),VLOOKUP(P$4,INDIRECT("Speed"&amp;_num),11,0)*((1/VLOOKUP(P$4,INDIRECT("Speed"&amp;_num),6,0)-1/$C6)/(1/VLOOKUP(P$4,INDIRECT("Speed"&amp;_num),6,0)-1/VLOOKUP(P$4,INDIRECT("Speed"&amp;_num),7,0)))^2+VLOOKUP(P$4,INDIRECT("Speed"&amp;_num),8,0)+VLOOKUP("DxR",Constants,_num,0)*VLOOKUP(P$4,INDIRECT("Speed"&amp;_num),10,0)*(1/$C6-1/VLOOKUP(P$4,INDIRECT("Speed"&amp;_num),7,0)),VLOOKUP(P$4,INDIRECT("Speed"&amp;_num),11,0)*(VLOOKUP(P$4,INDIRECT("Speed"&amp;_num),7,0)/$C6)^2+VLOOKUP("DxR",Constants,_num,0)*VLOOKUP(P$4,INDIRECT("Speed"&amp;_num),9,0)/$C6)</f>
        <v>5.999999999999997E-2</v>
      </c>
    </row>
    <row r="7" spans="1:21" x14ac:dyDescent="0.2">
      <c r="A7" s="94">
        <f ca="1">CONVERT(C7,Length,IF(Metric,"ft","m"))</f>
        <v>147.828</v>
      </c>
      <c r="B7" s="95">
        <f ca="1">IF(C7&gt;0,DxR/(IF(Metric,A7,C7)*24),"")</f>
        <v>0.49223178275859103</v>
      </c>
      <c r="C7" s="139">
        <f ca="1">IF(DC_used,DxR/MROUND(DxR/VLOOKUP(J4,INDIRECT("Speed"&amp;_num),6,0),0.25),N3)</f>
        <v>485</v>
      </c>
      <c r="D7" s="140">
        <f ca="1">IF($C7&lt;MAX(H$3,MinR),"",IF(I7&lt;NC,IF(ROUND(I7,4)&gt;NC-0.005,NC,"NC"),CEILING(ROUND(I7,4),Round_e)))</f>
        <v>5.8000000000000003E-2</v>
      </c>
      <c r="E7" s="141">
        <f t="shared" ca="1" si="0"/>
        <v>112</v>
      </c>
      <c r="F7" s="141">
        <f t="shared" ca="1" si="1"/>
        <v>88</v>
      </c>
      <c r="G7" s="141">
        <f ca="1">IF(E7="","",IF(MAX(H$4,E7)&lt;F7,IF(AND(E7&gt;H$4,F7-E7=1),F7,""),IF(MAX(H$4,E7)&gt;H7,"",MAX(H$4,E7))))</f>
        <v>120</v>
      </c>
      <c r="H7" s="141">
        <f t="shared" ca="1" si="2"/>
        <v>196</v>
      </c>
      <c r="I7" s="151">
        <f ca="1">(eMax+VLOOKUP(D$4,INDIRECT("Speed"&amp;_num),2,0))*VLOOKUP(D$4,INDIRECT("Speed"&amp;_num),6)/$C7-IF(1/$C7&gt;1/VLOOKUP(D$4,INDIRECT("Speed"&amp;_num),7,0),VLOOKUP(D$4,INDIRECT("Speed"&amp;_num),11,0)*((1/VLOOKUP(D$4,INDIRECT("Speed"&amp;_num),6,0)-1/$C7)/(1/VLOOKUP(D$4,INDIRECT("Speed"&amp;_num),6,0)-1/VLOOKUP(D$4,INDIRECT("Speed"&amp;_num),7,0)))^2+VLOOKUP(D$4,INDIRECT("Speed"&amp;_num),8,0)+VLOOKUP("DxR",Constants,_num,0)*VLOOKUP(D$4,INDIRECT("Speed"&amp;_num),10,0)*(1/$C7-1/VLOOKUP(D$4,INDIRECT("Speed"&amp;_num),7,0)),VLOOKUP(D$4,INDIRECT("Speed"&amp;_num),11,0)*(VLOOKUP(D$4,INDIRECT("Speed"&amp;_num),7,0)/$C7)^2+VLOOKUP("DxR",Constants,_num,0)*VLOOKUP(D$4,INDIRECT("Speed"&amp;_num),9,0)/$C7)</f>
        <v>5.6156066217993808E-2</v>
      </c>
      <c r="J7" s="55">
        <f ca="1">IF($C7&lt;MAX(N$3,MinR),"",IF(O7&lt;NC,IF(ROUND(O7,4)&gt;NC-0.005,NC,"NC"),CEILING(ROUND(O7,4),Round_e)))</f>
        <v>0.06</v>
      </c>
      <c r="K7" s="141">
        <f t="shared" ca="1" si="3"/>
        <v>124</v>
      </c>
      <c r="L7" s="141">
        <f t="shared" ca="1" si="4"/>
        <v>104</v>
      </c>
      <c r="M7" s="141">
        <f t="shared" ca="1" si="5"/>
        <v>135</v>
      </c>
      <c r="N7" s="141">
        <f t="shared" ca="1" si="6"/>
        <v>196</v>
      </c>
      <c r="O7" s="142">
        <f ca="1">(eMax+VLOOKUP(J$4,INDIRECT("Speed"&amp;_num),2,0))*VLOOKUP(J$4,INDIRECT("Speed"&amp;_num),6)/$C7-IF(1/$C7&gt;1/VLOOKUP(J$4,INDIRECT("Speed"&amp;_num),7,0),VLOOKUP(J$4,INDIRECT("Speed"&amp;_num),11,0)*((1/VLOOKUP(J$4,INDIRECT("Speed"&amp;_num),6,0)-1/$C7)/(1/VLOOKUP(J$4,INDIRECT("Speed"&amp;_num),6,0)-1/VLOOKUP(J$4,INDIRECT("Speed"&amp;_num),7,0)))^2+VLOOKUP(J$4,INDIRECT("Speed"&amp;_num),8,0)+VLOOKUP("DxR",Constants,_num,0)*VLOOKUP(J$4,INDIRECT("Speed"&amp;_num),10,0)*(1/$C7-1/VLOOKUP(J$4,INDIRECT("Speed"&amp;_num),7,0)),VLOOKUP(J$4,INDIRECT("Speed"&amp;_num),11,0)*(VLOOKUP(J$4,INDIRECT("Speed"&amp;_num),7,0)/$C7)^2+VLOOKUP("DxR",Constants,_num,0)*VLOOKUP(J$4,INDIRECT("Speed"&amp;_num),9,0)/$C7)</f>
        <v>0.06</v>
      </c>
      <c r="P7" s="55" t="str">
        <f ca="1">IF($C7&lt;MAX(T$3,MinR),"",IF(U7&lt;NC,IF(ROUND(U7,4)&gt;NC-0.005,NC,"NC"),CEILING(ROUND(U7,4),Round_e)))</f>
        <v/>
      </c>
      <c r="Q7" s="141" t="str">
        <f t="shared" ca="1" si="7"/>
        <v/>
      </c>
      <c r="R7" s="141" t="str">
        <f t="shared" ca="1" si="8"/>
        <v/>
      </c>
      <c r="S7" s="141" t="str">
        <f t="shared" ca="1" si="9"/>
        <v/>
      </c>
      <c r="T7" s="141" t="str">
        <f t="shared" ca="1" si="10"/>
        <v/>
      </c>
      <c r="U7" s="142">
        <f ca="1">(eMax+VLOOKUP(P$4,INDIRECT("Speed"&amp;_num),2,0))*VLOOKUP(P$4,INDIRECT("Speed"&amp;_num),6)/$C7-IF(1/$C7&gt;1/VLOOKUP(P$4,INDIRECT("Speed"&amp;_num),7,0),VLOOKUP(P$4,INDIRECT("Speed"&amp;_num),11,0)*((1/VLOOKUP(P$4,INDIRECT("Speed"&amp;_num),6,0)-1/$C7)/(1/VLOOKUP(P$4,INDIRECT("Speed"&amp;_num),6,0)-1/VLOOKUP(P$4,INDIRECT("Speed"&amp;_num),7,0)))^2+VLOOKUP(P$4,INDIRECT("Speed"&amp;_num),8,0)+VLOOKUP("DxR",Constants,_num,0)*VLOOKUP(P$4,INDIRECT("Speed"&amp;_num),10,0)*(1/$C7-1/VLOOKUP(P$4,INDIRECT("Speed"&amp;_num),7,0)),VLOOKUP(P$4,INDIRECT("Speed"&amp;_num),11,0)*(VLOOKUP(P$4,INDIRECT("Speed"&amp;_num),7,0)/$C7)^2+VLOOKUP("DxR",Constants,_num,0)*VLOOKUP(P$4,INDIRECT("Speed"&amp;_num),9,0)/$C7)</f>
        <v>5.5001279895207117E-2</v>
      </c>
    </row>
    <row r="8" spans="1:21" x14ac:dyDescent="0.2">
      <c r="A8" s="130">
        <f ca="1">CONVERT(C8,Length,IF(Metric,"ft","m"))</f>
        <v>103.63200000000001</v>
      </c>
      <c r="B8" s="111">
        <f ca="1">IF(C8&gt;0,DxR/(IF(Metric,A8,C8)*24),"")</f>
        <v>0.70215416069975489</v>
      </c>
      <c r="C8" s="112">
        <f ca="1">IF(DC_used,DxR/MROUND(DxR/VLOOKUP(D4,INDIRECT("Speed"&amp;_num),6,0),0.25),H3)</f>
        <v>340</v>
      </c>
      <c r="D8" s="113">
        <f ca="1">IF($C8&lt;MAX(H$3,MinR),"",IF(I8&lt;NC,IF(ROUND(I8,4)&gt;NC-0.005,NC,"NC"),CEILING(ROUND(I8,4),Round_e)))</f>
        <v>0.06</v>
      </c>
      <c r="E8" s="114">
        <f t="shared" ca="1" si="0"/>
        <v>116</v>
      </c>
      <c r="F8" s="114">
        <f t="shared" ca="1" si="1"/>
        <v>99</v>
      </c>
      <c r="G8" s="114">
        <f ca="1">IF(E8="","",IF(MAX(H$4,E8)&lt;F8,IF(AND(E8&gt;H$4,F8-E8=1),F8,""),IF(MAX(H$4,E8)&gt;H8,"",MAX(H$4,E8))))</f>
        <v>120</v>
      </c>
      <c r="H8" s="114">
        <f t="shared" ca="1" si="2"/>
        <v>164</v>
      </c>
      <c r="I8" s="115">
        <f ca="1">(eMax+VLOOKUP(D$4,INDIRECT("Speed"&amp;_num),2,0))*VLOOKUP(D$4,INDIRECT("Speed"&amp;_num),6)/$C8-IF(1/$C8&gt;1/VLOOKUP(D$4,INDIRECT("Speed"&amp;_num),7,0),VLOOKUP(D$4,INDIRECT("Speed"&amp;_num),11,0)*((1/VLOOKUP(D$4,INDIRECT("Speed"&amp;_num),6,0)-1/$C8)/(1/VLOOKUP(D$4,INDIRECT("Speed"&amp;_num),6,0)-1/VLOOKUP(D$4,INDIRECT("Speed"&amp;_num),7,0)))^2+VLOOKUP(D$4,INDIRECT("Speed"&amp;_num),8,0)+VLOOKUP("DxR",Constants,_num,0)*VLOOKUP(D$4,INDIRECT("Speed"&amp;_num),10,0)*(1/$C8-1/VLOOKUP(D$4,INDIRECT("Speed"&amp;_num),7,0)),VLOOKUP(D$4,INDIRECT("Speed"&amp;_num),11,0)*(VLOOKUP(D$4,INDIRECT("Speed"&amp;_num),7,0)/$C8)^2+VLOOKUP("DxR",Constants,_num,0)*VLOOKUP(D$4,INDIRECT("Speed"&amp;_num),9,0)/$C8)</f>
        <v>0.06</v>
      </c>
      <c r="J8" s="113" t="str">
        <f ca="1">IF($C8&lt;MAX(N$3,MinR),"",IF(O8&lt;NC,IF(ROUND(O8,4)&gt;NC-0.005,NC,"NC"),CEILING(ROUND(O8,4),Round_e)))</f>
        <v/>
      </c>
      <c r="K8" s="114" t="str">
        <f t="shared" ca="1" si="3"/>
        <v/>
      </c>
      <c r="L8" s="114" t="str">
        <f t="shared" ca="1" si="4"/>
        <v/>
      </c>
      <c r="M8" s="114" t="str">
        <f t="shared" ca="1" si="5"/>
        <v/>
      </c>
      <c r="N8" s="114" t="str">
        <f t="shared" ca="1" si="6"/>
        <v/>
      </c>
      <c r="O8" s="115">
        <f ca="1">(eMax+VLOOKUP(J$4,INDIRECT("Speed"&amp;_num),2,0))*VLOOKUP(J$4,INDIRECT("Speed"&amp;_num),6)/$C8-IF(1/$C8&gt;1/VLOOKUP(J$4,INDIRECT("Speed"&amp;_num),7,0),VLOOKUP(J$4,INDIRECT("Speed"&amp;_num),11,0)*((1/VLOOKUP(J$4,INDIRECT("Speed"&amp;_num),6,0)-1/$C8)/(1/VLOOKUP(J$4,INDIRECT("Speed"&amp;_num),6,0)-1/VLOOKUP(J$4,INDIRECT("Speed"&amp;_num),7,0)))^2+VLOOKUP(J$4,INDIRECT("Speed"&amp;_num),8,0)+VLOOKUP("DxR",Constants,_num,0)*VLOOKUP(J$4,INDIRECT("Speed"&amp;_num),10,0)*(1/$C8-1/VLOOKUP(J$4,INDIRECT("Speed"&amp;_num),7,0)),VLOOKUP(J$4,INDIRECT("Speed"&amp;_num),11,0)*(VLOOKUP(J$4,INDIRECT("Speed"&amp;_num),7,0)/$C8)^2+VLOOKUP("DxR",Constants,_num,0)*VLOOKUP(J$4,INDIRECT("Speed"&amp;_num),9,0)/$C8)</f>
        <v>5.1753005395961171E-2</v>
      </c>
      <c r="P8" s="113" t="str">
        <f ca="1">IF($C8&lt;MAX(T$3,MinR),"",IF(U8&lt;NC,IF(ROUND(U8,4)&gt;NC-0.005,NC,"NC"),CEILING(ROUND(U8,4),Round_e)))</f>
        <v/>
      </c>
      <c r="Q8" s="114" t="str">
        <f t="shared" ca="1" si="7"/>
        <v/>
      </c>
      <c r="R8" s="114" t="str">
        <f t="shared" ca="1" si="8"/>
        <v/>
      </c>
      <c r="S8" s="114" t="str">
        <f t="shared" ca="1" si="9"/>
        <v/>
      </c>
      <c r="T8" s="114" t="str">
        <f t="shared" ca="1" si="10"/>
        <v/>
      </c>
      <c r="U8" s="115">
        <f ca="1">(eMax+VLOOKUP(P$4,INDIRECT("Speed"&amp;_num),2,0))*VLOOKUP(P$4,INDIRECT("Speed"&amp;_num),6)/$C8-IF(1/$C8&gt;1/VLOOKUP(P$4,INDIRECT("Speed"&amp;_num),7,0),VLOOKUP(P$4,INDIRECT("Speed"&amp;_num),11,0)*((1/VLOOKUP(P$4,INDIRECT("Speed"&amp;_num),6,0)-1/$C8)/(1/VLOOKUP(P$4,INDIRECT("Speed"&amp;_num),6,0)-1/VLOOKUP(P$4,INDIRECT("Speed"&amp;_num),7,0)))^2+VLOOKUP(P$4,INDIRECT("Speed"&amp;_num),8,0)+VLOOKUP("DxR",Constants,_num,0)*VLOOKUP(P$4,INDIRECT("Speed"&amp;_num),10,0)*(1/$C8-1/VLOOKUP(P$4,INDIRECT("Speed"&amp;_num),7,0)),VLOOKUP(P$4,INDIRECT("Speed"&amp;_num),11,0)*(VLOOKUP(P$4,INDIRECT("Speed"&amp;_num),7,0)/$C8)^2+VLOOKUP("DxR",Constants,_num,0)*VLOOKUP(P$4,INDIRECT("Speed"&amp;_num),9,0)/$C8)</f>
        <v>2.263366033713432E-2</v>
      </c>
    </row>
    <row r="9" spans="1:21" x14ac:dyDescent="0.2">
      <c r="A9" s="68">
        <f>CONVERT(C9,Length,IF(Metric,"ft","m"))</f>
        <v>533.4</v>
      </c>
      <c r="B9" s="59">
        <f>IF(C9&gt;0,DxR/(IF(Metric,A9,C9)*24),"")</f>
        <v>0.1364185226502381</v>
      </c>
      <c r="C9" s="85">
        <v>1750</v>
      </c>
      <c r="D9" s="55">
        <f t="shared" ref="D9:D50" ca="1" si="11">IF($C9&lt;MAX(H$3,MinR),"",IF(I9&lt;NC,IF(ROUND(I9,4)&gt;NC-0.005,NC,"NC"),CEILING(ROUND(I9,4),Round_e)))</f>
        <v>3.2000000000000001E-2</v>
      </c>
      <c r="E9" s="56">
        <f t="shared" ca="1" si="0"/>
        <v>62</v>
      </c>
      <c r="F9" s="56">
        <f t="shared" ca="1" si="1"/>
        <v>166</v>
      </c>
      <c r="G9" s="56" t="str">
        <f t="shared" ref="G9:G50" ca="1" si="12">IF(E9="","",IF(MAX(H$4,E9)&lt;F9,IF(AND(E9&gt;H$4,F9-E9=1),F9,""),IF(MAX(H$4,E9)&gt;H9,"",MAX(H$4,E9))))</f>
        <v/>
      </c>
      <c r="H9" s="56">
        <f t="shared" ca="1" si="2"/>
        <v>372</v>
      </c>
      <c r="I9" s="57">
        <f t="shared" ref="I9:I50" ca="1" si="13">(eMax+VLOOKUP(D$4,INDIRECT("Speed"&amp;_num),2,0))*VLOOKUP(D$4,INDIRECT("Speed"&amp;_num),6)/$C9-IF(1/$C9&gt;1/VLOOKUP(D$4,INDIRECT("Speed"&amp;_num),7,0),VLOOKUP(D$4,INDIRECT("Speed"&amp;_num),11,0)*((1/VLOOKUP(D$4,INDIRECT("Speed"&amp;_num),6,0)-1/$C9)/(1/VLOOKUP(D$4,INDIRECT("Speed"&amp;_num),6,0)-1/VLOOKUP(D$4,INDIRECT("Speed"&amp;_num),7,0)))^2+VLOOKUP(D$4,INDIRECT("Speed"&amp;_num),8,0)+VLOOKUP("DxR",Constants,_num,0)*VLOOKUP(D$4,INDIRECT("Speed"&amp;_num),10,0)*(1/$C9-1/VLOOKUP(D$4,INDIRECT("Speed"&amp;_num),7,0)),VLOOKUP(D$4,INDIRECT("Speed"&amp;_num),11,0)*(VLOOKUP(D$4,INDIRECT("Speed"&amp;_num),7,0)/$C9)^2+VLOOKUP("DxR",Constants,_num,0)*VLOOKUP(D$4,INDIRECT("Speed"&amp;_num),9,0)/$C9)</f>
        <v>3.0092117913832196E-2</v>
      </c>
      <c r="J9" s="55">
        <f t="shared" ref="J9:J50" ca="1" si="14">IF($C9&lt;MAX(N$3,MinR),"",IF(O9&lt;NC,IF(ROUND(O9,4)&gt;NC-0.005,NC,"NC"),CEILING(ROUND(O9,4),Round_e)))</f>
        <v>3.6000000000000004E-2</v>
      </c>
      <c r="K9" s="56">
        <f t="shared" ca="1" si="3"/>
        <v>74</v>
      </c>
      <c r="L9" s="56">
        <f t="shared" ca="1" si="4"/>
        <v>166</v>
      </c>
      <c r="M9" s="56" t="str">
        <f t="shared" ca="1" si="5"/>
        <v/>
      </c>
      <c r="N9" s="56">
        <f t="shared" ca="1" si="6"/>
        <v>372</v>
      </c>
      <c r="O9" s="57">
        <f t="shared" ref="O9:O50" ca="1" si="15">(eMax+VLOOKUP(J$4,INDIRECT("Speed"&amp;_num),2,0))*VLOOKUP(J$4,INDIRECT("Speed"&amp;_num),6)/$C9-IF(1/$C9&gt;1/VLOOKUP(J$4,INDIRECT("Speed"&amp;_num),7,0),VLOOKUP(J$4,INDIRECT("Speed"&amp;_num),11,0)*((1/VLOOKUP(J$4,INDIRECT("Speed"&amp;_num),6,0)-1/$C9)/(1/VLOOKUP(J$4,INDIRECT("Speed"&amp;_num),6,0)-1/VLOOKUP(J$4,INDIRECT("Speed"&amp;_num),7,0)))^2+VLOOKUP(J$4,INDIRECT("Speed"&amp;_num),8,0)+VLOOKUP("DxR",Constants,_num,0)*VLOOKUP(J$4,INDIRECT("Speed"&amp;_num),10,0)*(1/$C9-1/VLOOKUP(J$4,INDIRECT("Speed"&amp;_num),7,0)),VLOOKUP(J$4,INDIRECT("Speed"&amp;_num),11,0)*(VLOOKUP(J$4,INDIRECT("Speed"&amp;_num),7,0)/$C9)^2+VLOOKUP("DxR",Constants,_num,0)*VLOOKUP(J$4,INDIRECT("Speed"&amp;_num),9,0)/$C9)</f>
        <v>3.5911292517006796E-2</v>
      </c>
      <c r="P9" s="55">
        <f t="shared" ref="P9:P50" ca="1" si="16">IF($C9&lt;MAX(T$3,MinR),"",IF(U9&lt;NC,IF(ROUND(U9,4)&gt;NC-0.005,NC,"NC"),CEILING(ROUND(U9,4),Round_e)))</f>
        <v>4.2000000000000003E-2</v>
      </c>
      <c r="Q9" s="56">
        <f t="shared" ca="1" si="7"/>
        <v>93</v>
      </c>
      <c r="R9" s="56">
        <f t="shared" ca="1" si="8"/>
        <v>166</v>
      </c>
      <c r="S9" s="56" t="str">
        <f t="shared" ca="1" si="9"/>
        <v/>
      </c>
      <c r="T9" s="56">
        <f t="shared" ca="1" si="10"/>
        <v>372</v>
      </c>
      <c r="U9" s="57">
        <f t="shared" ref="U9:U50" ca="1" si="17">(eMax+VLOOKUP(P$4,INDIRECT("Speed"&amp;_num),2,0))*VLOOKUP(P$4,INDIRECT("Speed"&amp;_num),6)/$C9-IF(1/$C9&gt;1/VLOOKUP(P$4,INDIRECT("Speed"&amp;_num),7,0),VLOOKUP(P$4,INDIRECT("Speed"&amp;_num),11,0)*((1/VLOOKUP(P$4,INDIRECT("Speed"&amp;_num),6,0)-1/$C9)/(1/VLOOKUP(P$4,INDIRECT("Speed"&amp;_num),6,0)-1/VLOOKUP(P$4,INDIRECT("Speed"&amp;_num),7,0)))^2+VLOOKUP(P$4,INDIRECT("Speed"&amp;_num),8,0)+VLOOKUP("DxR",Constants,_num,0)*VLOOKUP(P$4,INDIRECT("Speed"&amp;_num),10,0)*(1/$C9-1/VLOOKUP(P$4,INDIRECT("Speed"&amp;_num),7,0)),VLOOKUP(P$4,INDIRECT("Speed"&amp;_num),11,0)*(VLOOKUP(P$4,INDIRECT("Speed"&amp;_num),7,0)/$C9)^2+VLOOKUP("DxR",Constants,_num,0)*VLOOKUP(P$4,INDIRECT("Speed"&amp;_num),9,0)/$C9)</f>
        <v>4.1201977023312401E-2</v>
      </c>
    </row>
    <row r="10" spans="1:21" x14ac:dyDescent="0.2">
      <c r="A10" s="69">
        <f>CONVERT(DxR/(B10*24),"ft",IF(Metric,"ft","m"))</f>
        <v>582.12511985309595</v>
      </c>
      <c r="B10" s="60">
        <v>0.125</v>
      </c>
      <c r="C10" s="86">
        <f>CONVERT(DxR/(B10*24),"ft",Length)</f>
        <v>1909.8593171033333</v>
      </c>
      <c r="D10" s="20">
        <f t="shared" ca="1" si="11"/>
        <v>0.03</v>
      </c>
      <c r="E10" s="14">
        <f t="shared" ca="1" si="0"/>
        <v>58</v>
      </c>
      <c r="F10" s="14">
        <f t="shared" ca="1" si="1"/>
        <v>174</v>
      </c>
      <c r="G10" s="14" t="str">
        <f t="shared" ca="1" si="12"/>
        <v/>
      </c>
      <c r="H10" s="14">
        <f t="shared" ca="1" si="2"/>
        <v>389</v>
      </c>
      <c r="I10" s="58">
        <f t="shared" ca="1" si="13"/>
        <v>2.825435161090557E-2</v>
      </c>
      <c r="J10" s="20">
        <f t="shared" ca="1" si="14"/>
        <v>3.4000000000000002E-2</v>
      </c>
      <c r="K10" s="14">
        <f t="shared" ca="1" si="3"/>
        <v>70</v>
      </c>
      <c r="L10" s="14">
        <f t="shared" ca="1" si="4"/>
        <v>174</v>
      </c>
      <c r="M10" s="14" t="str">
        <f t="shared" ca="1" si="5"/>
        <v/>
      </c>
      <c r="N10" s="14">
        <f t="shared" ca="1" si="6"/>
        <v>389</v>
      </c>
      <c r="O10" s="58">
        <f t="shared" ca="1" si="15"/>
        <v>3.3939241124290184E-2</v>
      </c>
      <c r="P10" s="20">
        <f t="shared" ca="1" si="16"/>
        <v>0.04</v>
      </c>
      <c r="Q10" s="14">
        <f t="shared" ca="1" si="7"/>
        <v>89</v>
      </c>
      <c r="R10" s="14">
        <f t="shared" ca="1" si="8"/>
        <v>174</v>
      </c>
      <c r="S10" s="14" t="str">
        <f t="shared" ca="1" si="9"/>
        <v/>
      </c>
      <c r="T10" s="14">
        <f t="shared" ca="1" si="10"/>
        <v>389</v>
      </c>
      <c r="U10" s="58">
        <f t="shared" ca="1" si="17"/>
        <v>3.9266625431502458E-2</v>
      </c>
    </row>
    <row r="11" spans="1:21" x14ac:dyDescent="0.2">
      <c r="A11" s="110">
        <v>500</v>
      </c>
      <c r="B11" s="111">
        <f t="shared" ref="B11:B50" si="18">IF(C11&gt;0,DxR/(IF(Metric,A11,C11)*24),"")</f>
        <v>0.1455685455109248</v>
      </c>
      <c r="C11" s="112">
        <f>ROUND(CONVERT(A11,IF(Metric,"ft","m"),Length),0)</f>
        <v>1640</v>
      </c>
      <c r="D11" s="113">
        <f t="shared" ca="1" si="11"/>
        <v>3.2000000000000001E-2</v>
      </c>
      <c r="E11" s="114">
        <f t="shared" ca="1" si="0"/>
        <v>62</v>
      </c>
      <c r="F11" s="114">
        <f t="shared" ca="1" si="1"/>
        <v>161</v>
      </c>
      <c r="G11" s="114" t="str">
        <f t="shared" ca="1" si="12"/>
        <v/>
      </c>
      <c r="H11" s="114">
        <f t="shared" ca="1" si="2"/>
        <v>360</v>
      </c>
      <c r="I11" s="115">
        <f t="shared" ca="1" si="13"/>
        <v>3.1474981822988961E-2</v>
      </c>
      <c r="J11" s="113">
        <f t="shared" ca="1" si="14"/>
        <v>3.7999999999999999E-2</v>
      </c>
      <c r="K11" s="114">
        <f t="shared" ca="1" si="3"/>
        <v>79</v>
      </c>
      <c r="L11" s="114">
        <f t="shared" ca="1" si="4"/>
        <v>161</v>
      </c>
      <c r="M11" s="114" t="str">
        <f t="shared" ca="1" si="5"/>
        <v/>
      </c>
      <c r="N11" s="114">
        <f t="shared" ca="1" si="6"/>
        <v>360</v>
      </c>
      <c r="O11" s="115">
        <f t="shared" ca="1" si="15"/>
        <v>3.735524489391235E-2</v>
      </c>
      <c r="P11" s="113">
        <f t="shared" ca="1" si="16"/>
        <v>4.3999999999999997E-2</v>
      </c>
      <c r="Q11" s="114">
        <f t="shared" ca="1" si="7"/>
        <v>98</v>
      </c>
      <c r="R11" s="114">
        <f t="shared" ca="1" si="8"/>
        <v>161</v>
      </c>
      <c r="S11" s="114" t="str">
        <f t="shared" ca="1" si="9"/>
        <v/>
      </c>
      <c r="T11" s="114">
        <f t="shared" ca="1" si="10"/>
        <v>360</v>
      </c>
      <c r="U11" s="115">
        <f t="shared" ca="1" si="17"/>
        <v>4.263879003614398E-2</v>
      </c>
    </row>
    <row r="12" spans="1:21" x14ac:dyDescent="0.2">
      <c r="A12" s="68">
        <f t="shared" ref="A12:A50" ca="1" si="19">CONVERT(C12,Length,IF(Metric,"ft","m"))</f>
        <v>1828.8</v>
      </c>
      <c r="B12" s="59">
        <f t="shared" ca="1" si="18"/>
        <v>3.9788735772986111E-2</v>
      </c>
      <c r="C12" s="108">
        <f ca="1">VLOOKUP(V,INDIRECT("Speed"&amp;_num),12+DC_used,0)</f>
        <v>6000</v>
      </c>
      <c r="D12" s="109" t="str">
        <f t="shared" ca="1" si="11"/>
        <v>NC</v>
      </c>
      <c r="E12" s="56" t="str">
        <f t="shared" ca="1" si="0"/>
        <v/>
      </c>
      <c r="F12" s="56" t="str">
        <f t="shared" ca="1" si="1"/>
        <v/>
      </c>
      <c r="G12" s="56" t="str">
        <f t="shared" ca="1" si="12"/>
        <v/>
      </c>
      <c r="H12" s="56" t="str">
        <f t="shared" ca="1" si="2"/>
        <v/>
      </c>
      <c r="I12" s="57">
        <f t="shared" ca="1" si="13"/>
        <v>1.0611308641975308E-2</v>
      </c>
      <c r="J12" s="109" t="str">
        <f t="shared" ca="1" si="14"/>
        <v>NC</v>
      </c>
      <c r="K12" s="56" t="str">
        <f t="shared" ca="1" si="3"/>
        <v/>
      </c>
      <c r="L12" s="56" t="str">
        <f t="shared" ca="1" si="4"/>
        <v/>
      </c>
      <c r="M12" s="56" t="str">
        <f t="shared" ca="1" si="5"/>
        <v/>
      </c>
      <c r="N12" s="56" t="str">
        <f t="shared" ca="1" si="6"/>
        <v/>
      </c>
      <c r="O12" s="57">
        <f t="shared" ca="1" si="15"/>
        <v>1.3258888888888888E-2</v>
      </c>
      <c r="P12" s="109">
        <f t="shared" ca="1" si="16"/>
        <v>0.02</v>
      </c>
      <c r="Q12" s="56">
        <f t="shared" ca="1" si="7"/>
        <v>44</v>
      </c>
      <c r="R12" s="56">
        <f t="shared" ca="1" si="8"/>
        <v>308</v>
      </c>
      <c r="S12" s="56" t="str">
        <f t="shared" ca="1" si="9"/>
        <v/>
      </c>
      <c r="T12" s="56">
        <f t="shared" ca="1" si="10"/>
        <v>689</v>
      </c>
      <c r="U12" s="57">
        <f t="shared" ca="1" si="17"/>
        <v>1.610088477366255E-2</v>
      </c>
    </row>
    <row r="13" spans="1:21" x14ac:dyDescent="0.2">
      <c r="A13" s="68">
        <f t="shared" ca="1" si="19"/>
        <v>1524</v>
      </c>
      <c r="B13" s="59">
        <f t="shared" ca="1" si="18"/>
        <v>4.7746482927583329E-2</v>
      </c>
      <c r="C13" s="86">
        <f t="shared" ref="C13:C50" ca="1" si="20">IF(OFFSET(C13,-1,0)&lt;=MinR,0,MAX(IF(DC_used,DxR/(24*(OFFSET(C13,-1,-1)+VLOOKUP(OFFSET(C13,-1,-1),Incr_DC,2))),OFFSET(C13,-1,0)-VLOOKUP(OFFSET(C13,-1,0),Incr,2)),MinR))</f>
        <v>5000</v>
      </c>
      <c r="D13" s="20" t="str">
        <f t="shared" ca="1" si="11"/>
        <v>NC</v>
      </c>
      <c r="E13" s="14" t="str">
        <f t="shared" ca="1" si="0"/>
        <v/>
      </c>
      <c r="F13" s="14" t="str">
        <f t="shared" ca="1" si="1"/>
        <v/>
      </c>
      <c r="G13" s="14" t="str">
        <f t="shared" ca="1" si="12"/>
        <v/>
      </c>
      <c r="H13" s="14" t="str">
        <f t="shared" ca="1" si="2"/>
        <v/>
      </c>
      <c r="I13" s="58">
        <f t="shared" ca="1" si="13"/>
        <v>1.2552284444444443E-2</v>
      </c>
      <c r="J13" s="20">
        <f t="shared" ca="1" si="14"/>
        <v>0.02</v>
      </c>
      <c r="K13" s="14">
        <f t="shared" ca="1" si="3"/>
        <v>41</v>
      </c>
      <c r="L13" s="14">
        <f t="shared" ca="1" si="4"/>
        <v>281</v>
      </c>
      <c r="M13" s="14" t="str">
        <f t="shared" ca="1" si="5"/>
        <v/>
      </c>
      <c r="N13" s="14">
        <f t="shared" ca="1" si="6"/>
        <v>629</v>
      </c>
      <c r="O13" s="58">
        <f t="shared" ca="1" si="15"/>
        <v>1.5635466666666667E-2</v>
      </c>
      <c r="P13" s="20">
        <f t="shared" ca="1" si="16"/>
        <v>0.02</v>
      </c>
      <c r="Q13" s="14">
        <f t="shared" ca="1" si="7"/>
        <v>44</v>
      </c>
      <c r="R13" s="14">
        <f t="shared" ca="1" si="8"/>
        <v>281</v>
      </c>
      <c r="S13" s="14" t="str">
        <f t="shared" ca="1" si="9"/>
        <v/>
      </c>
      <c r="T13" s="14">
        <f t="shared" ca="1" si="10"/>
        <v>629</v>
      </c>
      <c r="U13" s="58">
        <f t="shared" ca="1" si="17"/>
        <v>1.8917407407407404E-2</v>
      </c>
    </row>
    <row r="14" spans="1:21" x14ac:dyDescent="0.2">
      <c r="A14" s="68">
        <f t="shared" ca="1" si="19"/>
        <v>1219.2</v>
      </c>
      <c r="B14" s="59">
        <f t="shared" ca="1" si="18"/>
        <v>5.968310365947916E-2</v>
      </c>
      <c r="C14" s="86">
        <f t="shared" ca="1" si="20"/>
        <v>4000</v>
      </c>
      <c r="D14" s="20">
        <f t="shared" ca="1" si="11"/>
        <v>0.02</v>
      </c>
      <c r="E14" s="14">
        <f t="shared" ca="1" si="0"/>
        <v>39</v>
      </c>
      <c r="F14" s="14">
        <f t="shared" ca="1" si="1"/>
        <v>252</v>
      </c>
      <c r="G14" s="14" t="str">
        <f t="shared" ca="1" si="12"/>
        <v/>
      </c>
      <c r="H14" s="14">
        <f t="shared" ca="1" si="2"/>
        <v>563</v>
      </c>
      <c r="I14" s="58">
        <f t="shared" ca="1" si="13"/>
        <v>1.5350444444444443E-2</v>
      </c>
      <c r="J14" s="20">
        <f t="shared" ca="1" si="14"/>
        <v>0.02</v>
      </c>
      <c r="K14" s="14">
        <f t="shared" ca="1" si="3"/>
        <v>41</v>
      </c>
      <c r="L14" s="14">
        <f t="shared" ca="1" si="4"/>
        <v>252</v>
      </c>
      <c r="M14" s="14" t="str">
        <f t="shared" ca="1" si="5"/>
        <v/>
      </c>
      <c r="N14" s="14">
        <f t="shared" ca="1" si="6"/>
        <v>563</v>
      </c>
      <c r="O14" s="58">
        <f t="shared" ca="1" si="15"/>
        <v>1.9028333333333331E-2</v>
      </c>
      <c r="P14" s="20">
        <f t="shared" ca="1" si="16"/>
        <v>2.4E-2</v>
      </c>
      <c r="Q14" s="14">
        <f t="shared" ca="1" si="7"/>
        <v>53</v>
      </c>
      <c r="R14" s="14">
        <f t="shared" ca="1" si="8"/>
        <v>252</v>
      </c>
      <c r="S14" s="14" t="str">
        <f t="shared" ca="1" si="9"/>
        <v/>
      </c>
      <c r="T14" s="14">
        <f t="shared" ca="1" si="10"/>
        <v>563</v>
      </c>
      <c r="U14" s="58">
        <f t="shared" ca="1" si="17"/>
        <v>2.2889907407407407E-2</v>
      </c>
    </row>
    <row r="15" spans="1:21" x14ac:dyDescent="0.2">
      <c r="A15" s="68">
        <f t="shared" ca="1" si="19"/>
        <v>1066.8</v>
      </c>
      <c r="B15" s="59">
        <f t="shared" ca="1" si="18"/>
        <v>6.820926132511905E-2</v>
      </c>
      <c r="C15" s="86">
        <f t="shared" ca="1" si="20"/>
        <v>3500</v>
      </c>
      <c r="D15" s="20">
        <f t="shared" ca="1" si="11"/>
        <v>0.02</v>
      </c>
      <c r="E15" s="14">
        <f t="shared" ca="1" si="0"/>
        <v>39</v>
      </c>
      <c r="F15" s="14">
        <f t="shared" ca="1" si="1"/>
        <v>235</v>
      </c>
      <c r="G15" s="14" t="str">
        <f t="shared" ca="1" si="12"/>
        <v/>
      </c>
      <c r="H15" s="14">
        <f t="shared" ca="1" si="2"/>
        <v>526</v>
      </c>
      <c r="I15" s="58">
        <f t="shared" ca="1" si="13"/>
        <v>1.7265886621315188E-2</v>
      </c>
      <c r="J15" s="20">
        <f t="shared" ca="1" si="14"/>
        <v>2.1999999999999999E-2</v>
      </c>
      <c r="K15" s="14">
        <f t="shared" ca="1" si="3"/>
        <v>46</v>
      </c>
      <c r="L15" s="14">
        <f t="shared" ca="1" si="4"/>
        <v>235</v>
      </c>
      <c r="M15" s="14" t="str">
        <f t="shared" ca="1" si="5"/>
        <v/>
      </c>
      <c r="N15" s="14">
        <f t="shared" ca="1" si="6"/>
        <v>526</v>
      </c>
      <c r="O15" s="58">
        <f t="shared" ca="1" si="15"/>
        <v>2.1325442176870744E-2</v>
      </c>
      <c r="P15" s="20">
        <f t="shared" ca="1" si="16"/>
        <v>2.6000000000000002E-2</v>
      </c>
      <c r="Q15" s="14">
        <f t="shared" ca="1" si="7"/>
        <v>58</v>
      </c>
      <c r="R15" s="14">
        <f t="shared" ca="1" si="8"/>
        <v>235</v>
      </c>
      <c r="S15" s="14" t="str">
        <f t="shared" ca="1" si="9"/>
        <v/>
      </c>
      <c r="T15" s="14">
        <f t="shared" ca="1" si="10"/>
        <v>526</v>
      </c>
      <c r="U15" s="58">
        <f t="shared" ca="1" si="17"/>
        <v>2.5542055933484506E-2</v>
      </c>
    </row>
    <row r="16" spans="1:21" x14ac:dyDescent="0.2">
      <c r="A16" s="68">
        <f t="shared" ca="1" si="19"/>
        <v>914.4</v>
      </c>
      <c r="B16" s="59">
        <f t="shared" ca="1" si="18"/>
        <v>7.9577471545972223E-2</v>
      </c>
      <c r="C16" s="86">
        <f t="shared" ca="1" si="20"/>
        <v>3000</v>
      </c>
      <c r="D16" s="20">
        <f t="shared" ca="1" si="11"/>
        <v>0.02</v>
      </c>
      <c r="E16" s="14">
        <f t="shared" ca="1" si="0"/>
        <v>39</v>
      </c>
      <c r="F16" s="14">
        <f t="shared" ca="1" si="1"/>
        <v>218</v>
      </c>
      <c r="G16" s="14" t="str">
        <f t="shared" ca="1" si="12"/>
        <v/>
      </c>
      <c r="H16" s="14">
        <f t="shared" ca="1" si="2"/>
        <v>487</v>
      </c>
      <c r="I16" s="58">
        <f t="shared" ca="1" si="13"/>
        <v>1.97119012345679E-2</v>
      </c>
      <c r="J16" s="20">
        <f t="shared" ca="1" si="14"/>
        <v>2.6000000000000002E-2</v>
      </c>
      <c r="K16" s="14">
        <f t="shared" ca="1" si="3"/>
        <v>54</v>
      </c>
      <c r="L16" s="14">
        <f t="shared" ca="1" si="4"/>
        <v>218</v>
      </c>
      <c r="M16" s="14" t="str">
        <f t="shared" ca="1" si="5"/>
        <v/>
      </c>
      <c r="N16" s="14">
        <f t="shared" ca="1" si="6"/>
        <v>487</v>
      </c>
      <c r="O16" s="58">
        <f t="shared" ca="1" si="15"/>
        <v>2.4224444444444444E-2</v>
      </c>
      <c r="P16" s="20">
        <f t="shared" ca="1" si="16"/>
        <v>0.03</v>
      </c>
      <c r="Q16" s="14">
        <f t="shared" ca="1" si="7"/>
        <v>67</v>
      </c>
      <c r="R16" s="14">
        <f t="shared" ca="1" si="8"/>
        <v>218</v>
      </c>
      <c r="S16" s="14" t="str">
        <f t="shared" ca="1" si="9"/>
        <v/>
      </c>
      <c r="T16" s="14">
        <f t="shared" ca="1" si="10"/>
        <v>487</v>
      </c>
      <c r="U16" s="58">
        <f t="shared" ca="1" si="17"/>
        <v>2.8837983539094648E-2</v>
      </c>
    </row>
    <row r="17" spans="1:21" x14ac:dyDescent="0.2">
      <c r="A17" s="68">
        <f t="shared" ca="1" si="19"/>
        <v>762</v>
      </c>
      <c r="B17" s="59">
        <f t="shared" ca="1" si="18"/>
        <v>9.5492965855166659E-2</v>
      </c>
      <c r="C17" s="86">
        <f t="shared" ca="1" si="20"/>
        <v>2500</v>
      </c>
      <c r="D17" s="20">
        <f t="shared" ca="1" si="11"/>
        <v>2.4E-2</v>
      </c>
      <c r="E17" s="14">
        <f t="shared" ca="1" si="0"/>
        <v>46</v>
      </c>
      <c r="F17" s="14">
        <f t="shared" ca="1" si="1"/>
        <v>199</v>
      </c>
      <c r="G17" s="14" t="str">
        <f t="shared" ca="1" si="12"/>
        <v/>
      </c>
      <c r="H17" s="14">
        <f t="shared" ca="1" si="2"/>
        <v>445</v>
      </c>
      <c r="I17" s="58">
        <f t="shared" ca="1" si="13"/>
        <v>2.2929137777777775E-2</v>
      </c>
      <c r="J17" s="20">
        <f t="shared" ca="1" si="14"/>
        <v>2.8000000000000001E-2</v>
      </c>
      <c r="K17" s="14">
        <f t="shared" ca="1" si="3"/>
        <v>58</v>
      </c>
      <c r="L17" s="14">
        <f t="shared" ca="1" si="4"/>
        <v>199</v>
      </c>
      <c r="M17" s="14" t="str">
        <f t="shared" ca="1" si="5"/>
        <v/>
      </c>
      <c r="N17" s="14">
        <f t="shared" ca="1" si="6"/>
        <v>445</v>
      </c>
      <c r="O17" s="58">
        <f t="shared" ca="1" si="15"/>
        <v>2.796853333333333E-2</v>
      </c>
      <c r="P17" s="20">
        <f t="shared" ca="1" si="16"/>
        <v>3.4000000000000002E-2</v>
      </c>
      <c r="Q17" s="14">
        <f t="shared" ca="1" si="7"/>
        <v>76</v>
      </c>
      <c r="R17" s="14">
        <f t="shared" ca="1" si="8"/>
        <v>199</v>
      </c>
      <c r="S17" s="14" t="str">
        <f t="shared" ca="1" si="9"/>
        <v/>
      </c>
      <c r="T17" s="14">
        <f t="shared" ca="1" si="10"/>
        <v>445</v>
      </c>
      <c r="U17" s="58">
        <f t="shared" ca="1" si="17"/>
        <v>3.2990962962962951E-2</v>
      </c>
    </row>
    <row r="18" spans="1:21" x14ac:dyDescent="0.2">
      <c r="A18" s="68">
        <f t="shared" ca="1" si="19"/>
        <v>609.6</v>
      </c>
      <c r="B18" s="59">
        <f t="shared" ca="1" si="18"/>
        <v>0.11936620731895832</v>
      </c>
      <c r="C18" s="86">
        <f t="shared" ca="1" si="20"/>
        <v>2000</v>
      </c>
      <c r="D18" s="20">
        <f t="shared" ca="1" si="11"/>
        <v>2.8000000000000001E-2</v>
      </c>
      <c r="E18" s="14">
        <f t="shared" ca="1" si="0"/>
        <v>54</v>
      </c>
      <c r="F18" s="14">
        <f t="shared" ca="1" si="1"/>
        <v>178</v>
      </c>
      <c r="G18" s="14" t="str">
        <f t="shared" ca="1" si="12"/>
        <v/>
      </c>
      <c r="H18" s="14">
        <f t="shared" ca="1" si="2"/>
        <v>398</v>
      </c>
      <c r="I18" s="58">
        <f t="shared" ca="1" si="13"/>
        <v>2.7301777777777776E-2</v>
      </c>
      <c r="J18" s="20">
        <f t="shared" ca="1" si="14"/>
        <v>3.4000000000000002E-2</v>
      </c>
      <c r="K18" s="14">
        <f t="shared" ca="1" si="3"/>
        <v>70</v>
      </c>
      <c r="L18" s="14">
        <f t="shared" ca="1" si="4"/>
        <v>178</v>
      </c>
      <c r="M18" s="14" t="str">
        <f t="shared" ca="1" si="5"/>
        <v/>
      </c>
      <c r="N18" s="14">
        <f t="shared" ca="1" si="6"/>
        <v>398</v>
      </c>
      <c r="O18" s="58">
        <f t="shared" ca="1" si="15"/>
        <v>3.2896666666666664E-2</v>
      </c>
      <c r="P18" s="20">
        <f t="shared" ca="1" si="16"/>
        <v>0.04</v>
      </c>
      <c r="Q18" s="14">
        <f t="shared" ca="1" si="7"/>
        <v>89</v>
      </c>
      <c r="R18" s="14">
        <f t="shared" ca="1" si="8"/>
        <v>178</v>
      </c>
      <c r="S18" s="14" t="str">
        <f t="shared" ca="1" si="9"/>
        <v/>
      </c>
      <c r="T18" s="14">
        <f t="shared" ca="1" si="10"/>
        <v>398</v>
      </c>
      <c r="U18" s="58">
        <f t="shared" ca="1" si="17"/>
        <v>3.8211296296296292E-2</v>
      </c>
    </row>
    <row r="19" spans="1:21" x14ac:dyDescent="0.2">
      <c r="A19" s="68">
        <f t="shared" ca="1" si="19"/>
        <v>533.4</v>
      </c>
      <c r="B19" s="59">
        <f t="shared" ca="1" si="18"/>
        <v>0.1364185226502381</v>
      </c>
      <c r="C19" s="86">
        <f t="shared" ca="1" si="20"/>
        <v>1750</v>
      </c>
      <c r="D19" s="20">
        <f t="shared" ca="1" si="11"/>
        <v>3.2000000000000001E-2</v>
      </c>
      <c r="E19" s="14">
        <f t="shared" ca="1" si="0"/>
        <v>62</v>
      </c>
      <c r="F19" s="14">
        <f t="shared" ca="1" si="1"/>
        <v>166</v>
      </c>
      <c r="G19" s="14" t="str">
        <f t="shared" ca="1" si="12"/>
        <v/>
      </c>
      <c r="H19" s="14">
        <f t="shared" ca="1" si="2"/>
        <v>372</v>
      </c>
      <c r="I19" s="58">
        <f t="shared" ca="1" si="13"/>
        <v>3.0092117913832196E-2</v>
      </c>
      <c r="J19" s="20">
        <f t="shared" ca="1" si="14"/>
        <v>3.6000000000000004E-2</v>
      </c>
      <c r="K19" s="14">
        <f t="shared" ca="1" si="3"/>
        <v>74</v>
      </c>
      <c r="L19" s="14">
        <f t="shared" ca="1" si="4"/>
        <v>166</v>
      </c>
      <c r="M19" s="14" t="str">
        <f t="shared" ca="1" si="5"/>
        <v/>
      </c>
      <c r="N19" s="14">
        <f t="shared" ca="1" si="6"/>
        <v>372</v>
      </c>
      <c r="O19" s="58">
        <f t="shared" ca="1" si="15"/>
        <v>3.5911292517006796E-2</v>
      </c>
      <c r="P19" s="20">
        <f t="shared" ca="1" si="16"/>
        <v>4.2000000000000003E-2</v>
      </c>
      <c r="Q19" s="14">
        <f t="shared" ca="1" si="7"/>
        <v>93</v>
      </c>
      <c r="R19" s="14">
        <f t="shared" ca="1" si="8"/>
        <v>166</v>
      </c>
      <c r="S19" s="14" t="str">
        <f t="shared" ca="1" si="9"/>
        <v/>
      </c>
      <c r="T19" s="14">
        <f t="shared" ca="1" si="10"/>
        <v>372</v>
      </c>
      <c r="U19" s="58">
        <f t="shared" ca="1" si="17"/>
        <v>4.1201977023312401E-2</v>
      </c>
    </row>
    <row r="20" spans="1:21" x14ac:dyDescent="0.2">
      <c r="A20" s="68">
        <f t="shared" ca="1" si="19"/>
        <v>457.2</v>
      </c>
      <c r="B20" s="59">
        <f t="shared" ca="1" si="18"/>
        <v>0.15915494309194445</v>
      </c>
      <c r="C20" s="86">
        <f t="shared" ca="1" si="20"/>
        <v>1500</v>
      </c>
      <c r="D20" s="20">
        <f t="shared" ca="1" si="11"/>
        <v>3.4000000000000002E-2</v>
      </c>
      <c r="E20" s="14">
        <f t="shared" ca="1" si="0"/>
        <v>66</v>
      </c>
      <c r="F20" s="14">
        <f t="shared" ca="1" si="1"/>
        <v>154</v>
      </c>
      <c r="G20" s="14" t="str">
        <f t="shared" ca="1" si="12"/>
        <v/>
      </c>
      <c r="H20" s="14">
        <f t="shared" ca="1" si="2"/>
        <v>345</v>
      </c>
      <c r="I20" s="58">
        <f t="shared" ca="1" si="13"/>
        <v>3.3380938271604932E-2</v>
      </c>
      <c r="J20" s="20">
        <f t="shared" ca="1" si="14"/>
        <v>0.04</v>
      </c>
      <c r="K20" s="14">
        <f t="shared" ca="1" si="3"/>
        <v>83</v>
      </c>
      <c r="L20" s="14">
        <f t="shared" ca="1" si="4"/>
        <v>154</v>
      </c>
      <c r="M20" s="14" t="str">
        <f t="shared" ca="1" si="5"/>
        <v/>
      </c>
      <c r="N20" s="14">
        <f t="shared" ca="1" si="6"/>
        <v>345</v>
      </c>
      <c r="O20" s="58">
        <f t="shared" ca="1" si="15"/>
        <v>3.927555555555555E-2</v>
      </c>
      <c r="P20" s="20">
        <f t="shared" ca="1" si="16"/>
        <v>4.5999999999999999E-2</v>
      </c>
      <c r="Q20" s="14">
        <f t="shared" ca="1" si="7"/>
        <v>102</v>
      </c>
      <c r="R20" s="14">
        <f t="shared" ca="1" si="8"/>
        <v>154</v>
      </c>
      <c r="S20" s="14" t="str">
        <f t="shared" ca="1" si="9"/>
        <v/>
      </c>
      <c r="T20" s="14">
        <f t="shared" ca="1" si="10"/>
        <v>345</v>
      </c>
      <c r="U20" s="58">
        <f t="shared" ca="1" si="17"/>
        <v>4.4666872617522363E-2</v>
      </c>
    </row>
    <row r="21" spans="1:21" x14ac:dyDescent="0.2">
      <c r="A21" s="68">
        <f t="shared" ca="1" si="19"/>
        <v>381</v>
      </c>
      <c r="B21" s="59">
        <f t="shared" ca="1" si="18"/>
        <v>0.19098593171033332</v>
      </c>
      <c r="C21" s="86">
        <f t="shared" ca="1" si="20"/>
        <v>1250</v>
      </c>
      <c r="D21" s="20">
        <f t="shared" ca="1" si="11"/>
        <v>3.7999999999999999E-2</v>
      </c>
      <c r="E21" s="14">
        <f t="shared" ca="1" si="0"/>
        <v>74</v>
      </c>
      <c r="F21" s="14">
        <f t="shared" ca="1" si="1"/>
        <v>141</v>
      </c>
      <c r="G21" s="14" t="str">
        <f t="shared" ca="1" si="12"/>
        <v/>
      </c>
      <c r="H21" s="14">
        <f t="shared" ca="1" si="2"/>
        <v>315</v>
      </c>
      <c r="I21" s="58">
        <f t="shared" ca="1" si="13"/>
        <v>3.7156551111111102E-2</v>
      </c>
      <c r="J21" s="20">
        <f t="shared" ca="1" si="14"/>
        <v>4.3999999999999997E-2</v>
      </c>
      <c r="K21" s="14">
        <f t="shared" ca="1" si="3"/>
        <v>91</v>
      </c>
      <c r="L21" s="14">
        <f t="shared" ca="1" si="4"/>
        <v>141</v>
      </c>
      <c r="M21" s="14" t="str">
        <f t="shared" ca="1" si="5"/>
        <v/>
      </c>
      <c r="N21" s="14">
        <f t="shared" ca="1" si="6"/>
        <v>315</v>
      </c>
      <c r="O21" s="58">
        <f t="shared" ca="1" si="15"/>
        <v>4.3068781754886099E-2</v>
      </c>
      <c r="P21" s="20">
        <f t="shared" ca="1" si="16"/>
        <v>0.05</v>
      </c>
      <c r="Q21" s="14">
        <f t="shared" ca="1" si="7"/>
        <v>111</v>
      </c>
      <c r="R21" s="14">
        <f t="shared" ca="1" si="8"/>
        <v>141</v>
      </c>
      <c r="S21" s="14">
        <f t="shared" ca="1" si="9"/>
        <v>150</v>
      </c>
      <c r="T21" s="14">
        <f t="shared" ca="1" si="10"/>
        <v>315</v>
      </c>
      <c r="U21" s="58">
        <f t="shared" ca="1" si="17"/>
        <v>4.8925262614928265E-2</v>
      </c>
    </row>
    <row r="22" spans="1:21" x14ac:dyDescent="0.2">
      <c r="A22" s="68">
        <f t="shared" ca="1" si="19"/>
        <v>304.8</v>
      </c>
      <c r="B22" s="59">
        <f t="shared" ca="1" si="18"/>
        <v>0.23873241463791664</v>
      </c>
      <c r="C22" s="86">
        <f t="shared" ca="1" si="20"/>
        <v>1000</v>
      </c>
      <c r="D22" s="20">
        <f t="shared" ca="1" si="11"/>
        <v>4.2000000000000003E-2</v>
      </c>
      <c r="E22" s="14">
        <f t="shared" ca="1" si="0"/>
        <v>81</v>
      </c>
      <c r="F22" s="14">
        <f t="shared" ca="1" si="1"/>
        <v>126</v>
      </c>
      <c r="G22" s="14" t="str">
        <f t="shared" ca="1" si="12"/>
        <v/>
      </c>
      <c r="H22" s="14">
        <f t="shared" ca="1" si="2"/>
        <v>281</v>
      </c>
      <c r="I22" s="58">
        <f t="shared" ca="1" si="13"/>
        <v>4.1333433663612154E-2</v>
      </c>
      <c r="J22" s="20">
        <f t="shared" ca="1" si="14"/>
        <v>4.8000000000000001E-2</v>
      </c>
      <c r="K22" s="14">
        <f t="shared" ca="1" si="3"/>
        <v>99</v>
      </c>
      <c r="L22" s="14">
        <f t="shared" ca="1" si="4"/>
        <v>126</v>
      </c>
      <c r="M22" s="14">
        <f t="shared" ca="1" si="5"/>
        <v>135</v>
      </c>
      <c r="N22" s="14">
        <f t="shared" ca="1" si="6"/>
        <v>281</v>
      </c>
      <c r="O22" s="58">
        <f t="shared" ca="1" si="15"/>
        <v>4.8013383587803694E-2</v>
      </c>
      <c r="P22" s="20">
        <f t="shared" ca="1" si="16"/>
        <v>5.3999999999999999E-2</v>
      </c>
      <c r="Q22" s="14">
        <f t="shared" ca="1" si="7"/>
        <v>120</v>
      </c>
      <c r="R22" s="14">
        <f t="shared" ca="1" si="8"/>
        <v>126</v>
      </c>
      <c r="S22" s="14">
        <f t="shared" ca="1" si="9"/>
        <v>150</v>
      </c>
      <c r="T22" s="14">
        <f t="shared" ca="1" si="10"/>
        <v>281</v>
      </c>
      <c r="U22" s="58">
        <f t="shared" ca="1" si="17"/>
        <v>5.4016832973094592E-2</v>
      </c>
    </row>
    <row r="23" spans="1:21" x14ac:dyDescent="0.2">
      <c r="A23" s="68">
        <f t="shared" ca="1" si="19"/>
        <v>274.32</v>
      </c>
      <c r="B23" s="59">
        <f t="shared" ca="1" si="18"/>
        <v>0.26525823848657404</v>
      </c>
      <c r="C23" s="86">
        <f t="shared" ca="1" si="20"/>
        <v>900</v>
      </c>
      <c r="D23" s="20">
        <f t="shared" ca="1" si="11"/>
        <v>4.3999999999999997E-2</v>
      </c>
      <c r="E23" s="14">
        <f t="shared" ca="1" si="0"/>
        <v>85</v>
      </c>
      <c r="F23" s="14">
        <f t="shared" ca="1" si="1"/>
        <v>119</v>
      </c>
      <c r="G23" s="14">
        <f t="shared" ca="1" si="12"/>
        <v>120</v>
      </c>
      <c r="H23" s="14">
        <f t="shared" ca="1" si="2"/>
        <v>267</v>
      </c>
      <c r="I23" s="58">
        <f t="shared" ca="1" si="13"/>
        <v>4.340621331133198E-2</v>
      </c>
      <c r="J23" s="20">
        <f t="shared" ca="1" si="14"/>
        <v>5.2000000000000005E-2</v>
      </c>
      <c r="K23" s="14">
        <f t="shared" ca="1" si="3"/>
        <v>108</v>
      </c>
      <c r="L23" s="14">
        <f t="shared" ca="1" si="4"/>
        <v>119</v>
      </c>
      <c r="M23" s="14">
        <f t="shared" ca="1" si="5"/>
        <v>135</v>
      </c>
      <c r="N23" s="14">
        <f t="shared" ca="1" si="6"/>
        <v>267</v>
      </c>
      <c r="O23" s="58">
        <f t="shared" ca="1" si="15"/>
        <v>5.0392349340651191E-2</v>
      </c>
      <c r="P23" s="20">
        <f t="shared" ca="1" si="16"/>
        <v>5.8000000000000003E-2</v>
      </c>
      <c r="Q23" s="14">
        <f t="shared" ca="1" si="7"/>
        <v>129</v>
      </c>
      <c r="R23" s="14">
        <f t="shared" ca="1" si="8"/>
        <v>119</v>
      </c>
      <c r="S23" s="14">
        <f t="shared" ca="1" si="9"/>
        <v>150</v>
      </c>
      <c r="T23" s="14">
        <f t="shared" ca="1" si="10"/>
        <v>267</v>
      </c>
      <c r="U23" s="58">
        <f t="shared" ca="1" si="17"/>
        <v>5.6173475582031562E-2</v>
      </c>
    </row>
    <row r="24" spans="1:21" x14ac:dyDescent="0.2">
      <c r="A24" s="68">
        <f t="shared" ca="1" si="19"/>
        <v>243.84</v>
      </c>
      <c r="B24" s="59">
        <f t="shared" ca="1" si="18"/>
        <v>0.29841551829739582</v>
      </c>
      <c r="C24" s="86">
        <f t="shared" ca="1" si="20"/>
        <v>800</v>
      </c>
      <c r="D24" s="20">
        <f t="shared" ca="1" si="11"/>
        <v>4.5999999999999999E-2</v>
      </c>
      <c r="E24" s="14">
        <f t="shared" ca="1" si="0"/>
        <v>89</v>
      </c>
      <c r="F24" s="14">
        <f t="shared" ca="1" si="1"/>
        <v>113</v>
      </c>
      <c r="G24" s="14">
        <f t="shared" ca="1" si="12"/>
        <v>120</v>
      </c>
      <c r="H24" s="14">
        <f t="shared" ca="1" si="2"/>
        <v>252</v>
      </c>
      <c r="I24" s="58">
        <f t="shared" ca="1" si="13"/>
        <v>4.5825690753485762E-2</v>
      </c>
      <c r="J24" s="20">
        <f t="shared" ca="1" si="14"/>
        <v>5.3999999999999999E-2</v>
      </c>
      <c r="K24" s="14">
        <f t="shared" ca="1" si="3"/>
        <v>112</v>
      </c>
      <c r="L24" s="14">
        <f t="shared" ca="1" si="4"/>
        <v>113</v>
      </c>
      <c r="M24" s="14">
        <f t="shared" ca="1" si="5"/>
        <v>135</v>
      </c>
      <c r="N24" s="14">
        <f t="shared" ca="1" si="6"/>
        <v>252</v>
      </c>
      <c r="O24" s="58">
        <f t="shared" ca="1" si="15"/>
        <v>5.299637825169265E-2</v>
      </c>
      <c r="P24" s="20">
        <f t="shared" ca="1" si="16"/>
        <v>0.06</v>
      </c>
      <c r="Q24" s="14">
        <f t="shared" ca="1" si="7"/>
        <v>133</v>
      </c>
      <c r="R24" s="14">
        <f t="shared" ca="1" si="8"/>
        <v>113</v>
      </c>
      <c r="S24" s="14">
        <f t="shared" ca="1" si="9"/>
        <v>150</v>
      </c>
      <c r="T24" s="14">
        <f t="shared" ca="1" si="10"/>
        <v>252</v>
      </c>
      <c r="U24" s="58">
        <f t="shared" ca="1" si="17"/>
        <v>5.819427121927441E-2</v>
      </c>
    </row>
    <row r="25" spans="1:21" x14ac:dyDescent="0.2">
      <c r="A25" s="68">
        <f t="shared" ca="1" si="19"/>
        <v>213.36</v>
      </c>
      <c r="B25" s="59">
        <f t="shared" ca="1" si="18"/>
        <v>0.34104630662559521</v>
      </c>
      <c r="C25" s="86">
        <f t="shared" ca="1" si="20"/>
        <v>700</v>
      </c>
      <c r="D25" s="20">
        <f t="shared" ca="1" si="11"/>
        <v>0.05</v>
      </c>
      <c r="E25" s="14">
        <f t="shared" ca="1" si="0"/>
        <v>97</v>
      </c>
      <c r="F25" s="14">
        <f t="shared" ca="1" si="1"/>
        <v>105</v>
      </c>
      <c r="G25" s="14">
        <f t="shared" ca="1" si="12"/>
        <v>120</v>
      </c>
      <c r="H25" s="14">
        <f t="shared" ca="1" si="2"/>
        <v>235</v>
      </c>
      <c r="I25" s="58">
        <f t="shared" ca="1" si="13"/>
        <v>4.8656452170955364E-2</v>
      </c>
      <c r="J25" s="20">
        <f t="shared" ca="1" si="14"/>
        <v>5.6000000000000001E-2</v>
      </c>
      <c r="K25" s="14">
        <f t="shared" ca="1" si="3"/>
        <v>116</v>
      </c>
      <c r="L25" s="14">
        <f t="shared" ca="1" si="4"/>
        <v>105</v>
      </c>
      <c r="M25" s="14">
        <f t="shared" ca="1" si="5"/>
        <v>135</v>
      </c>
      <c r="N25" s="14">
        <f t="shared" ca="1" si="6"/>
        <v>235</v>
      </c>
      <c r="O25" s="58">
        <f t="shared" ca="1" si="15"/>
        <v>5.574085904749225E-2</v>
      </c>
      <c r="P25" s="20">
        <f t="shared" ca="1" si="16"/>
        <v>0.06</v>
      </c>
      <c r="Q25" s="14">
        <f t="shared" ca="1" si="7"/>
        <v>133</v>
      </c>
      <c r="R25" s="14">
        <f t="shared" ca="1" si="8"/>
        <v>105</v>
      </c>
      <c r="S25" s="14">
        <f t="shared" ca="1" si="9"/>
        <v>150</v>
      </c>
      <c r="T25" s="14">
        <f t="shared" ca="1" si="10"/>
        <v>235</v>
      </c>
      <c r="U25" s="58">
        <f t="shared" ca="1" si="17"/>
        <v>5.9690383775029998E-2</v>
      </c>
    </row>
    <row r="26" spans="1:21" x14ac:dyDescent="0.2">
      <c r="A26" s="68">
        <f t="shared" ca="1" si="19"/>
        <v>182.88</v>
      </c>
      <c r="B26" s="59">
        <f t="shared" ca="1" si="18"/>
        <v>0.39788735772986111</v>
      </c>
      <c r="C26" s="86">
        <f t="shared" ca="1" si="20"/>
        <v>600</v>
      </c>
      <c r="D26" s="20">
        <f t="shared" ca="1" si="11"/>
        <v>5.2000000000000005E-2</v>
      </c>
      <c r="E26" s="14">
        <f t="shared" ca="1" si="0"/>
        <v>101</v>
      </c>
      <c r="F26" s="14">
        <f t="shared" ca="1" si="1"/>
        <v>97</v>
      </c>
      <c r="G26" s="14">
        <f t="shared" ca="1" si="12"/>
        <v>120</v>
      </c>
      <c r="H26" s="14">
        <f t="shared" ca="1" si="2"/>
        <v>218</v>
      </c>
      <c r="I26" s="58">
        <f t="shared" ca="1" si="13"/>
        <v>5.1940808963307217E-2</v>
      </c>
      <c r="J26" s="20">
        <f t="shared" ca="1" si="14"/>
        <v>0.06</v>
      </c>
      <c r="K26" s="14">
        <f t="shared" ca="1" si="3"/>
        <v>124</v>
      </c>
      <c r="L26" s="14">
        <f t="shared" ca="1" si="4"/>
        <v>97</v>
      </c>
      <c r="M26" s="14">
        <f t="shared" ca="1" si="5"/>
        <v>135</v>
      </c>
      <c r="N26" s="14">
        <f t="shared" ca="1" si="6"/>
        <v>218</v>
      </c>
      <c r="O26" s="58">
        <f t="shared" ca="1" si="15"/>
        <v>5.8343943118030997E-2</v>
      </c>
      <c r="P26" s="20" t="str">
        <f t="shared" ca="1" si="16"/>
        <v/>
      </c>
      <c r="Q26" s="14" t="str">
        <f t="shared" ca="1" si="7"/>
        <v/>
      </c>
      <c r="R26" s="14" t="str">
        <f t="shared" ca="1" si="8"/>
        <v/>
      </c>
      <c r="S26" s="14" t="str">
        <f t="shared" ca="1" si="9"/>
        <v/>
      </c>
      <c r="T26" s="14" t="str">
        <f t="shared" ca="1" si="10"/>
        <v/>
      </c>
      <c r="U26" s="58">
        <f t="shared" ca="1" si="17"/>
        <v>5.9756607304813442E-2</v>
      </c>
    </row>
    <row r="27" spans="1:21" x14ac:dyDescent="0.2">
      <c r="A27" s="68">
        <f t="shared" ca="1" si="19"/>
        <v>152.4</v>
      </c>
      <c r="B27" s="59">
        <f t="shared" ca="1" si="18"/>
        <v>0.47746482927583328</v>
      </c>
      <c r="C27" s="86">
        <f t="shared" ca="1" si="20"/>
        <v>500</v>
      </c>
      <c r="D27" s="20">
        <f t="shared" ca="1" si="11"/>
        <v>5.6000000000000001E-2</v>
      </c>
      <c r="E27" s="14">
        <f t="shared" ca="1" si="0"/>
        <v>108</v>
      </c>
      <c r="F27" s="14">
        <f t="shared" ca="1" si="1"/>
        <v>89</v>
      </c>
      <c r="G27" s="14">
        <f t="shared" ca="1" si="12"/>
        <v>120</v>
      </c>
      <c r="H27" s="14">
        <f t="shared" ca="1" si="2"/>
        <v>199</v>
      </c>
      <c r="I27" s="58">
        <f t="shared" ca="1" si="13"/>
        <v>5.5598124285193312E-2</v>
      </c>
      <c r="J27" s="20">
        <f t="shared" ca="1" si="14"/>
        <v>0.06</v>
      </c>
      <c r="K27" s="14">
        <f t="shared" ca="1" si="3"/>
        <v>124</v>
      </c>
      <c r="L27" s="14">
        <f t="shared" ca="1" si="4"/>
        <v>101</v>
      </c>
      <c r="M27" s="14">
        <f t="shared" ca="1" si="5"/>
        <v>135</v>
      </c>
      <c r="N27" s="14">
        <f t="shared" ca="1" si="6"/>
        <v>199</v>
      </c>
      <c r="O27" s="58">
        <f t="shared" ca="1" si="15"/>
        <v>5.9960311394972737E-2</v>
      </c>
      <c r="P27" s="20" t="str">
        <f t="shared" ca="1" si="16"/>
        <v/>
      </c>
      <c r="Q27" s="14" t="str">
        <f t="shared" ca="1" si="7"/>
        <v/>
      </c>
      <c r="R27" s="14" t="str">
        <f t="shared" ca="1" si="8"/>
        <v/>
      </c>
      <c r="S27" s="14" t="str">
        <f t="shared" ca="1" si="9"/>
        <v/>
      </c>
      <c r="T27" s="14" t="str">
        <f t="shared" ca="1" si="10"/>
        <v/>
      </c>
      <c r="U27" s="58">
        <f t="shared" ca="1" si="17"/>
        <v>5.614642128096009E-2</v>
      </c>
    </row>
    <row r="28" spans="1:21" x14ac:dyDescent="0.2">
      <c r="A28" s="68">
        <f t="shared" ca="1" si="19"/>
        <v>137.16</v>
      </c>
      <c r="B28" s="59">
        <f t="shared" ca="1" si="18"/>
        <v>0.53051647697314808</v>
      </c>
      <c r="C28" s="86">
        <f t="shared" ca="1" si="20"/>
        <v>450</v>
      </c>
      <c r="D28" s="20">
        <f t="shared" ca="1" si="11"/>
        <v>5.8000000000000003E-2</v>
      </c>
      <c r="E28" s="14">
        <f t="shared" ca="1" si="0"/>
        <v>112</v>
      </c>
      <c r="F28" s="14">
        <f t="shared" ca="1" si="1"/>
        <v>84</v>
      </c>
      <c r="G28" s="14">
        <f t="shared" ca="1" si="12"/>
        <v>120</v>
      </c>
      <c r="H28" s="14">
        <f t="shared" ca="1" si="2"/>
        <v>189</v>
      </c>
      <c r="I28" s="58">
        <f t="shared" ca="1" si="13"/>
        <v>5.7426566970909421E-2</v>
      </c>
      <c r="J28" s="20" t="str">
        <f t="shared" ca="1" si="14"/>
        <v/>
      </c>
      <c r="K28" s="14" t="str">
        <f t="shared" ca="1" si="3"/>
        <v/>
      </c>
      <c r="L28" s="14" t="str">
        <f t="shared" ca="1" si="4"/>
        <v/>
      </c>
      <c r="M28" s="14" t="str">
        <f t="shared" ca="1" si="5"/>
        <v/>
      </c>
      <c r="N28" s="14" t="str">
        <f t="shared" ca="1" si="6"/>
        <v/>
      </c>
      <c r="O28" s="58">
        <f t="shared" ca="1" si="15"/>
        <v>5.9723478583981332E-2</v>
      </c>
      <c r="P28" s="20" t="str">
        <f t="shared" ca="1" si="16"/>
        <v/>
      </c>
      <c r="Q28" s="14" t="str">
        <f t="shared" ca="1" si="7"/>
        <v/>
      </c>
      <c r="R28" s="14" t="str">
        <f t="shared" ca="1" si="8"/>
        <v/>
      </c>
      <c r="S28" s="14" t="str">
        <f t="shared" ca="1" si="9"/>
        <v/>
      </c>
      <c r="T28" s="14" t="str">
        <f t="shared" ca="1" si="10"/>
        <v/>
      </c>
      <c r="U28" s="58">
        <f t="shared" ca="1" si="17"/>
        <v>5.1339603491090124E-2</v>
      </c>
    </row>
    <row r="29" spans="1:21" x14ac:dyDescent="0.2">
      <c r="A29" s="68">
        <f t="shared" ca="1" si="19"/>
        <v>121.92</v>
      </c>
      <c r="B29" s="59">
        <f t="shared" ca="1" si="18"/>
        <v>0.59683103659479164</v>
      </c>
      <c r="C29" s="86">
        <f t="shared" ca="1" si="20"/>
        <v>400</v>
      </c>
      <c r="D29" s="20">
        <f t="shared" ca="1" si="11"/>
        <v>0.06</v>
      </c>
      <c r="E29" s="14">
        <f t="shared" ca="1" si="0"/>
        <v>116</v>
      </c>
      <c r="F29" s="14">
        <f t="shared" ca="1" si="1"/>
        <v>84</v>
      </c>
      <c r="G29" s="14">
        <f t="shared" ca="1" si="12"/>
        <v>120</v>
      </c>
      <c r="H29" s="14">
        <f t="shared" ca="1" si="2"/>
        <v>178</v>
      </c>
      <c r="I29" s="58">
        <f t="shared" ca="1" si="13"/>
        <v>5.9026131858070624E-2</v>
      </c>
      <c r="J29" s="20" t="str">
        <f t="shared" ca="1" si="14"/>
        <v/>
      </c>
      <c r="K29" s="14" t="str">
        <f t="shared" ca="1" si="3"/>
        <v/>
      </c>
      <c r="L29" s="14" t="str">
        <f t="shared" ca="1" si="4"/>
        <v/>
      </c>
      <c r="M29" s="14" t="str">
        <f t="shared" ca="1" si="5"/>
        <v/>
      </c>
      <c r="N29" s="14" t="str">
        <f t="shared" ca="1" si="6"/>
        <v/>
      </c>
      <c r="O29" s="58">
        <f t="shared" ca="1" si="15"/>
        <v>5.7948724450170408E-2</v>
      </c>
      <c r="P29" s="20" t="str">
        <f t="shared" ca="1" si="16"/>
        <v/>
      </c>
      <c r="Q29" s="14" t="str">
        <f t="shared" ca="1" si="7"/>
        <v/>
      </c>
      <c r="R29" s="14" t="str">
        <f t="shared" ca="1" si="8"/>
        <v/>
      </c>
      <c r="S29" s="14" t="str">
        <f t="shared" ca="1" si="9"/>
        <v/>
      </c>
      <c r="T29" s="14" t="str">
        <f t="shared" ca="1" si="10"/>
        <v/>
      </c>
      <c r="U29" s="58">
        <f t="shared" ca="1" si="17"/>
        <v>4.263105075803908E-2</v>
      </c>
    </row>
    <row r="30" spans="1:21" x14ac:dyDescent="0.2">
      <c r="A30" s="68">
        <f t="shared" ca="1" si="19"/>
        <v>106.68</v>
      </c>
      <c r="B30" s="59">
        <f t="shared" ca="1" si="18"/>
        <v>0.68209261325119042</v>
      </c>
      <c r="C30" s="86">
        <f t="shared" ca="1" si="20"/>
        <v>350</v>
      </c>
      <c r="D30" s="20">
        <f t="shared" ca="1" si="11"/>
        <v>0.06</v>
      </c>
      <c r="E30" s="14">
        <f t="shared" ca="1" si="0"/>
        <v>116</v>
      </c>
      <c r="F30" s="14">
        <f t="shared" ca="1" si="1"/>
        <v>96</v>
      </c>
      <c r="G30" s="14">
        <f t="shared" ca="1" si="12"/>
        <v>120</v>
      </c>
      <c r="H30" s="14">
        <f t="shared" ca="1" si="2"/>
        <v>166</v>
      </c>
      <c r="I30" s="58">
        <f t="shared" ca="1" si="13"/>
        <v>5.9962734108936766E-2</v>
      </c>
      <c r="J30" s="20" t="str">
        <f t="shared" ca="1" si="14"/>
        <v/>
      </c>
      <c r="K30" s="14" t="str">
        <f t="shared" ca="1" si="3"/>
        <v/>
      </c>
      <c r="L30" s="14" t="str">
        <f t="shared" ca="1" si="4"/>
        <v/>
      </c>
      <c r="M30" s="14" t="str">
        <f t="shared" ca="1" si="5"/>
        <v/>
      </c>
      <c r="N30" s="14" t="str">
        <f t="shared" ca="1" si="6"/>
        <v/>
      </c>
      <c r="O30" s="58">
        <f t="shared" ca="1" si="15"/>
        <v>5.3252672204541496E-2</v>
      </c>
      <c r="P30" s="20" t="str">
        <f t="shared" ca="1" si="16"/>
        <v/>
      </c>
      <c r="Q30" s="14" t="str">
        <f t="shared" ca="1" si="7"/>
        <v/>
      </c>
      <c r="R30" s="14" t="str">
        <f t="shared" ca="1" si="8"/>
        <v/>
      </c>
      <c r="S30" s="14" t="str">
        <f t="shared" ca="1" si="9"/>
        <v/>
      </c>
      <c r="T30" s="14" t="str">
        <f t="shared" ca="1" si="10"/>
        <v/>
      </c>
      <c r="U30" s="58">
        <f t="shared" ca="1" si="17"/>
        <v>2.7026127047032666E-2</v>
      </c>
    </row>
    <row r="31" spans="1:21" x14ac:dyDescent="0.2">
      <c r="A31" s="68">
        <f t="shared" ca="1" si="19"/>
        <v>103.63200000000001</v>
      </c>
      <c r="B31" s="59">
        <f t="shared" ca="1" si="18"/>
        <v>0.70215416069975489</v>
      </c>
      <c r="C31" s="86">
        <f t="shared" ca="1" si="20"/>
        <v>340</v>
      </c>
      <c r="D31" s="20">
        <f t="shared" ca="1" si="11"/>
        <v>0.06</v>
      </c>
      <c r="E31" s="14">
        <f t="shared" ca="1" si="0"/>
        <v>116</v>
      </c>
      <c r="F31" s="14">
        <f t="shared" ca="1" si="1"/>
        <v>99</v>
      </c>
      <c r="G31" s="14">
        <f t="shared" ca="1" si="12"/>
        <v>120</v>
      </c>
      <c r="H31" s="14">
        <f t="shared" ca="1" si="2"/>
        <v>164</v>
      </c>
      <c r="I31" s="58">
        <f t="shared" ca="1" si="13"/>
        <v>0.06</v>
      </c>
      <c r="J31" s="20" t="str">
        <f t="shared" ca="1" si="14"/>
        <v/>
      </c>
      <c r="K31" s="14" t="str">
        <f t="shared" ca="1" si="3"/>
        <v/>
      </c>
      <c r="L31" s="14" t="str">
        <f t="shared" ca="1" si="4"/>
        <v/>
      </c>
      <c r="M31" s="14" t="str">
        <f t="shared" ca="1" si="5"/>
        <v/>
      </c>
      <c r="N31" s="14" t="str">
        <f t="shared" ca="1" si="6"/>
        <v/>
      </c>
      <c r="O31" s="58">
        <f t="shared" ca="1" si="15"/>
        <v>5.1753005395961171E-2</v>
      </c>
      <c r="P31" s="20" t="str">
        <f t="shared" ca="1" si="16"/>
        <v/>
      </c>
      <c r="Q31" s="14" t="str">
        <f t="shared" ca="1" si="7"/>
        <v/>
      </c>
      <c r="R31" s="14" t="str">
        <f t="shared" ca="1" si="8"/>
        <v/>
      </c>
      <c r="S31" s="14" t="str">
        <f t="shared" ca="1" si="9"/>
        <v/>
      </c>
      <c r="T31" s="14" t="str">
        <f t="shared" ca="1" si="10"/>
        <v/>
      </c>
      <c r="U31" s="58">
        <f t="shared" ca="1" si="17"/>
        <v>2.263366033713432E-2</v>
      </c>
    </row>
    <row r="32" spans="1:21" x14ac:dyDescent="0.2">
      <c r="A32" s="68">
        <f t="shared" ca="1" si="19"/>
        <v>0</v>
      </c>
      <c r="B32" s="59" t="str">
        <f t="shared" ca="1" si="18"/>
        <v/>
      </c>
      <c r="C32" s="86">
        <f t="shared" ca="1" si="20"/>
        <v>0</v>
      </c>
      <c r="D32" s="20" t="str">
        <f t="shared" ca="1" si="11"/>
        <v/>
      </c>
      <c r="E32" s="14" t="str">
        <f t="shared" ca="1" si="0"/>
        <v/>
      </c>
      <c r="F32" s="14" t="str">
        <f t="shared" ca="1" si="1"/>
        <v/>
      </c>
      <c r="G32" s="14" t="str">
        <f t="shared" ca="1" si="12"/>
        <v/>
      </c>
      <c r="H32" s="14" t="str">
        <f t="shared" ca="1" si="2"/>
        <v/>
      </c>
      <c r="I32" s="58" t="e">
        <f t="shared" ca="1" si="13"/>
        <v>#DIV/0!</v>
      </c>
      <c r="J32" s="20" t="str">
        <f t="shared" ca="1" si="14"/>
        <v/>
      </c>
      <c r="K32" s="14" t="str">
        <f t="shared" ca="1" si="3"/>
        <v/>
      </c>
      <c r="L32" s="14" t="str">
        <f t="shared" ca="1" si="4"/>
        <v/>
      </c>
      <c r="M32" s="14" t="str">
        <f t="shared" ca="1" si="5"/>
        <v/>
      </c>
      <c r="N32" s="14" t="str">
        <f t="shared" ca="1" si="6"/>
        <v/>
      </c>
      <c r="O32" s="58" t="e">
        <f t="shared" ca="1" si="15"/>
        <v>#DIV/0!</v>
      </c>
      <c r="P32" s="20" t="str">
        <f t="shared" ca="1" si="16"/>
        <v/>
      </c>
      <c r="Q32" s="14" t="str">
        <f t="shared" ca="1" si="7"/>
        <v/>
      </c>
      <c r="R32" s="14" t="str">
        <f t="shared" ca="1" si="8"/>
        <v/>
      </c>
      <c r="S32" s="14" t="str">
        <f t="shared" ca="1" si="9"/>
        <v/>
      </c>
      <c r="T32" s="14" t="str">
        <f t="shared" ca="1" si="10"/>
        <v/>
      </c>
      <c r="U32" s="58" t="e">
        <f t="shared" ca="1" si="17"/>
        <v>#DIV/0!</v>
      </c>
    </row>
    <row r="33" spans="1:21" x14ac:dyDescent="0.2">
      <c r="A33" s="68">
        <f t="shared" ca="1" si="19"/>
        <v>0</v>
      </c>
      <c r="B33" s="59" t="str">
        <f t="shared" ca="1" si="18"/>
        <v/>
      </c>
      <c r="C33" s="86">
        <f t="shared" ca="1" si="20"/>
        <v>0</v>
      </c>
      <c r="D33" s="20" t="str">
        <f t="shared" ca="1" si="11"/>
        <v/>
      </c>
      <c r="E33" s="14" t="str">
        <f t="shared" ca="1" si="0"/>
        <v/>
      </c>
      <c r="F33" s="14" t="str">
        <f t="shared" ca="1" si="1"/>
        <v/>
      </c>
      <c r="G33" s="14" t="str">
        <f t="shared" ca="1" si="12"/>
        <v/>
      </c>
      <c r="H33" s="14" t="str">
        <f t="shared" ca="1" si="2"/>
        <v/>
      </c>
      <c r="I33" s="58" t="e">
        <f t="shared" ca="1" si="13"/>
        <v>#DIV/0!</v>
      </c>
      <c r="J33" s="20" t="str">
        <f t="shared" ca="1" si="14"/>
        <v/>
      </c>
      <c r="K33" s="14" t="str">
        <f t="shared" ca="1" si="3"/>
        <v/>
      </c>
      <c r="L33" s="14" t="str">
        <f t="shared" ca="1" si="4"/>
        <v/>
      </c>
      <c r="M33" s="14" t="str">
        <f t="shared" ca="1" si="5"/>
        <v/>
      </c>
      <c r="N33" s="14" t="str">
        <f t="shared" ca="1" si="6"/>
        <v/>
      </c>
      <c r="O33" s="58" t="e">
        <f t="shared" ca="1" si="15"/>
        <v>#DIV/0!</v>
      </c>
      <c r="P33" s="20" t="str">
        <f t="shared" ca="1" si="16"/>
        <v/>
      </c>
      <c r="Q33" s="14" t="str">
        <f t="shared" ca="1" si="7"/>
        <v/>
      </c>
      <c r="R33" s="14" t="str">
        <f t="shared" ca="1" si="8"/>
        <v/>
      </c>
      <c r="S33" s="14" t="str">
        <f t="shared" ca="1" si="9"/>
        <v/>
      </c>
      <c r="T33" s="14" t="str">
        <f t="shared" ca="1" si="10"/>
        <v/>
      </c>
      <c r="U33" s="58" t="e">
        <f t="shared" ca="1" si="17"/>
        <v>#DIV/0!</v>
      </c>
    </row>
    <row r="34" spans="1:21" x14ac:dyDescent="0.2">
      <c r="A34" s="68">
        <f t="shared" ca="1" si="19"/>
        <v>0</v>
      </c>
      <c r="B34" s="59" t="str">
        <f t="shared" ca="1" si="18"/>
        <v/>
      </c>
      <c r="C34" s="86">
        <f t="shared" ca="1" si="20"/>
        <v>0</v>
      </c>
      <c r="D34" s="20" t="str">
        <f t="shared" ca="1" si="11"/>
        <v/>
      </c>
      <c r="E34" s="14" t="str">
        <f t="shared" ca="1" si="0"/>
        <v/>
      </c>
      <c r="F34" s="14" t="str">
        <f t="shared" ca="1" si="1"/>
        <v/>
      </c>
      <c r="G34" s="14" t="str">
        <f t="shared" ca="1" si="12"/>
        <v/>
      </c>
      <c r="H34" s="14" t="str">
        <f t="shared" ca="1" si="2"/>
        <v/>
      </c>
      <c r="I34" s="58" t="e">
        <f t="shared" ca="1" si="13"/>
        <v>#DIV/0!</v>
      </c>
      <c r="J34" s="20" t="str">
        <f t="shared" ca="1" si="14"/>
        <v/>
      </c>
      <c r="K34" s="14" t="str">
        <f t="shared" ca="1" si="3"/>
        <v/>
      </c>
      <c r="L34" s="14" t="str">
        <f t="shared" ca="1" si="4"/>
        <v/>
      </c>
      <c r="M34" s="14" t="str">
        <f t="shared" ca="1" si="5"/>
        <v/>
      </c>
      <c r="N34" s="14" t="str">
        <f t="shared" ca="1" si="6"/>
        <v/>
      </c>
      <c r="O34" s="58" t="e">
        <f t="shared" ca="1" si="15"/>
        <v>#DIV/0!</v>
      </c>
      <c r="P34" s="20" t="str">
        <f t="shared" ca="1" si="16"/>
        <v/>
      </c>
      <c r="Q34" s="14" t="str">
        <f t="shared" ca="1" si="7"/>
        <v/>
      </c>
      <c r="R34" s="14" t="str">
        <f t="shared" ca="1" si="8"/>
        <v/>
      </c>
      <c r="S34" s="14" t="str">
        <f t="shared" ca="1" si="9"/>
        <v/>
      </c>
      <c r="T34" s="14" t="str">
        <f t="shared" ca="1" si="10"/>
        <v/>
      </c>
      <c r="U34" s="58" t="e">
        <f t="shared" ca="1" si="17"/>
        <v>#DIV/0!</v>
      </c>
    </row>
    <row r="35" spans="1:21" x14ac:dyDescent="0.2">
      <c r="A35" s="68">
        <f t="shared" ca="1" si="19"/>
        <v>0</v>
      </c>
      <c r="B35" s="59" t="str">
        <f t="shared" ca="1" si="18"/>
        <v/>
      </c>
      <c r="C35" s="86">
        <f t="shared" ca="1" si="20"/>
        <v>0</v>
      </c>
      <c r="D35" s="20" t="str">
        <f t="shared" ca="1" si="11"/>
        <v/>
      </c>
      <c r="E35" s="14" t="str">
        <f t="shared" ca="1" si="0"/>
        <v/>
      </c>
      <c r="F35" s="14" t="str">
        <f t="shared" ca="1" si="1"/>
        <v/>
      </c>
      <c r="G35" s="14" t="str">
        <f t="shared" ca="1" si="12"/>
        <v/>
      </c>
      <c r="H35" s="14" t="str">
        <f t="shared" ca="1" si="2"/>
        <v/>
      </c>
      <c r="I35" s="58" t="e">
        <f t="shared" ca="1" si="13"/>
        <v>#DIV/0!</v>
      </c>
      <c r="J35" s="20" t="str">
        <f t="shared" ca="1" si="14"/>
        <v/>
      </c>
      <c r="K35" s="14" t="str">
        <f t="shared" ca="1" si="3"/>
        <v/>
      </c>
      <c r="L35" s="14" t="str">
        <f t="shared" ca="1" si="4"/>
        <v/>
      </c>
      <c r="M35" s="14" t="str">
        <f t="shared" ca="1" si="5"/>
        <v/>
      </c>
      <c r="N35" s="14" t="str">
        <f t="shared" ca="1" si="6"/>
        <v/>
      </c>
      <c r="O35" s="58" t="e">
        <f t="shared" ca="1" si="15"/>
        <v>#DIV/0!</v>
      </c>
      <c r="P35" s="20" t="str">
        <f t="shared" ca="1" si="16"/>
        <v/>
      </c>
      <c r="Q35" s="14" t="str">
        <f t="shared" ca="1" si="7"/>
        <v/>
      </c>
      <c r="R35" s="14" t="str">
        <f t="shared" ca="1" si="8"/>
        <v/>
      </c>
      <c r="S35" s="14" t="str">
        <f t="shared" ca="1" si="9"/>
        <v/>
      </c>
      <c r="T35" s="14" t="str">
        <f t="shared" ca="1" si="10"/>
        <v/>
      </c>
      <c r="U35" s="58" t="e">
        <f t="shared" ca="1" si="17"/>
        <v>#DIV/0!</v>
      </c>
    </row>
    <row r="36" spans="1:21" x14ac:dyDescent="0.2">
      <c r="A36" s="68">
        <f t="shared" ca="1" si="19"/>
        <v>0</v>
      </c>
      <c r="B36" s="59" t="str">
        <f t="shared" ca="1" si="18"/>
        <v/>
      </c>
      <c r="C36" s="86">
        <f t="shared" ca="1" si="20"/>
        <v>0</v>
      </c>
      <c r="D36" s="20" t="str">
        <f t="shared" ca="1" si="11"/>
        <v/>
      </c>
      <c r="E36" s="14" t="str">
        <f t="shared" ca="1" si="0"/>
        <v/>
      </c>
      <c r="F36" s="14" t="str">
        <f t="shared" ca="1" si="1"/>
        <v/>
      </c>
      <c r="G36" s="14" t="str">
        <f t="shared" ca="1" si="12"/>
        <v/>
      </c>
      <c r="H36" s="14" t="str">
        <f t="shared" ca="1" si="2"/>
        <v/>
      </c>
      <c r="I36" s="58" t="e">
        <f t="shared" ca="1" si="13"/>
        <v>#DIV/0!</v>
      </c>
      <c r="J36" s="20" t="str">
        <f t="shared" ca="1" si="14"/>
        <v/>
      </c>
      <c r="K36" s="14" t="str">
        <f t="shared" ca="1" si="3"/>
        <v/>
      </c>
      <c r="L36" s="14" t="str">
        <f t="shared" ca="1" si="4"/>
        <v/>
      </c>
      <c r="M36" s="14" t="str">
        <f t="shared" ca="1" si="5"/>
        <v/>
      </c>
      <c r="N36" s="14" t="str">
        <f t="shared" ca="1" si="6"/>
        <v/>
      </c>
      <c r="O36" s="58" t="e">
        <f t="shared" ca="1" si="15"/>
        <v>#DIV/0!</v>
      </c>
      <c r="P36" s="20" t="str">
        <f t="shared" ca="1" si="16"/>
        <v/>
      </c>
      <c r="Q36" s="14" t="str">
        <f t="shared" ca="1" si="7"/>
        <v/>
      </c>
      <c r="R36" s="14" t="str">
        <f t="shared" ca="1" si="8"/>
        <v/>
      </c>
      <c r="S36" s="14" t="str">
        <f t="shared" ca="1" si="9"/>
        <v/>
      </c>
      <c r="T36" s="14" t="str">
        <f t="shared" ca="1" si="10"/>
        <v/>
      </c>
      <c r="U36" s="58" t="e">
        <f t="shared" ca="1" si="17"/>
        <v>#DIV/0!</v>
      </c>
    </row>
    <row r="37" spans="1:21" x14ac:dyDescent="0.2">
      <c r="A37" s="68">
        <f t="shared" ca="1" si="19"/>
        <v>0</v>
      </c>
      <c r="B37" s="59" t="str">
        <f t="shared" ca="1" si="18"/>
        <v/>
      </c>
      <c r="C37" s="86">
        <f t="shared" ca="1" si="20"/>
        <v>0</v>
      </c>
      <c r="D37" s="20" t="str">
        <f t="shared" ca="1" si="11"/>
        <v/>
      </c>
      <c r="E37" s="14" t="str">
        <f t="shared" ca="1" si="0"/>
        <v/>
      </c>
      <c r="F37" s="14" t="str">
        <f t="shared" ca="1" si="1"/>
        <v/>
      </c>
      <c r="G37" s="14" t="str">
        <f t="shared" ca="1" si="12"/>
        <v/>
      </c>
      <c r="H37" s="14" t="str">
        <f t="shared" ca="1" si="2"/>
        <v/>
      </c>
      <c r="I37" s="58" t="e">
        <f t="shared" ca="1" si="13"/>
        <v>#DIV/0!</v>
      </c>
      <c r="J37" s="20" t="str">
        <f t="shared" ca="1" si="14"/>
        <v/>
      </c>
      <c r="K37" s="14" t="str">
        <f t="shared" ca="1" si="3"/>
        <v/>
      </c>
      <c r="L37" s="14" t="str">
        <f t="shared" ca="1" si="4"/>
        <v/>
      </c>
      <c r="M37" s="14" t="str">
        <f t="shared" ca="1" si="5"/>
        <v/>
      </c>
      <c r="N37" s="14" t="str">
        <f t="shared" ca="1" si="6"/>
        <v/>
      </c>
      <c r="O37" s="58" t="e">
        <f t="shared" ca="1" si="15"/>
        <v>#DIV/0!</v>
      </c>
      <c r="P37" s="20" t="str">
        <f t="shared" ca="1" si="16"/>
        <v/>
      </c>
      <c r="Q37" s="14" t="str">
        <f t="shared" ca="1" si="7"/>
        <v/>
      </c>
      <c r="R37" s="14" t="str">
        <f t="shared" ca="1" si="8"/>
        <v/>
      </c>
      <c r="S37" s="14" t="str">
        <f t="shared" ca="1" si="9"/>
        <v/>
      </c>
      <c r="T37" s="14" t="str">
        <f t="shared" ca="1" si="10"/>
        <v/>
      </c>
      <c r="U37" s="58" t="e">
        <f t="shared" ca="1" si="17"/>
        <v>#DIV/0!</v>
      </c>
    </row>
    <row r="38" spans="1:21" x14ac:dyDescent="0.2">
      <c r="A38" s="68">
        <f t="shared" ca="1" si="19"/>
        <v>0</v>
      </c>
      <c r="B38" s="59" t="str">
        <f t="shared" ca="1" si="18"/>
        <v/>
      </c>
      <c r="C38" s="86">
        <f t="shared" ca="1" si="20"/>
        <v>0</v>
      </c>
      <c r="D38" s="20" t="str">
        <f t="shared" ca="1" si="11"/>
        <v/>
      </c>
      <c r="E38" s="14" t="str">
        <f t="shared" ca="1" si="0"/>
        <v/>
      </c>
      <c r="F38" s="14" t="str">
        <f t="shared" ca="1" si="1"/>
        <v/>
      </c>
      <c r="G38" s="14" t="str">
        <f t="shared" ca="1" si="12"/>
        <v/>
      </c>
      <c r="H38" s="14" t="str">
        <f t="shared" ca="1" si="2"/>
        <v/>
      </c>
      <c r="I38" s="58" t="e">
        <f t="shared" ca="1" si="13"/>
        <v>#DIV/0!</v>
      </c>
      <c r="J38" s="20" t="str">
        <f t="shared" ca="1" si="14"/>
        <v/>
      </c>
      <c r="K38" s="14" t="str">
        <f t="shared" ca="1" si="3"/>
        <v/>
      </c>
      <c r="L38" s="14" t="str">
        <f t="shared" ca="1" si="4"/>
        <v/>
      </c>
      <c r="M38" s="14" t="str">
        <f t="shared" ca="1" si="5"/>
        <v/>
      </c>
      <c r="N38" s="14" t="str">
        <f t="shared" ca="1" si="6"/>
        <v/>
      </c>
      <c r="O38" s="58" t="e">
        <f t="shared" ca="1" si="15"/>
        <v>#DIV/0!</v>
      </c>
      <c r="P38" s="20" t="str">
        <f t="shared" ca="1" si="16"/>
        <v/>
      </c>
      <c r="Q38" s="14" t="str">
        <f t="shared" ca="1" si="7"/>
        <v/>
      </c>
      <c r="R38" s="14" t="str">
        <f t="shared" ca="1" si="8"/>
        <v/>
      </c>
      <c r="S38" s="14" t="str">
        <f t="shared" ca="1" si="9"/>
        <v/>
      </c>
      <c r="T38" s="14" t="str">
        <f t="shared" ca="1" si="10"/>
        <v/>
      </c>
      <c r="U38" s="58" t="e">
        <f t="shared" ca="1" si="17"/>
        <v>#DIV/0!</v>
      </c>
    </row>
    <row r="39" spans="1:21" x14ac:dyDescent="0.2">
      <c r="A39" s="68">
        <f t="shared" ca="1" si="19"/>
        <v>0</v>
      </c>
      <c r="B39" s="59" t="str">
        <f t="shared" ca="1" si="18"/>
        <v/>
      </c>
      <c r="C39" s="86">
        <f t="shared" ca="1" si="20"/>
        <v>0</v>
      </c>
      <c r="D39" s="20" t="str">
        <f t="shared" ca="1" si="11"/>
        <v/>
      </c>
      <c r="E39" s="14" t="str">
        <f t="shared" ca="1" si="0"/>
        <v/>
      </c>
      <c r="F39" s="14" t="str">
        <f t="shared" ca="1" si="1"/>
        <v/>
      </c>
      <c r="G39" s="14" t="str">
        <f t="shared" ca="1" si="12"/>
        <v/>
      </c>
      <c r="H39" s="14" t="str">
        <f t="shared" ca="1" si="2"/>
        <v/>
      </c>
      <c r="I39" s="58" t="e">
        <f t="shared" ca="1" si="13"/>
        <v>#DIV/0!</v>
      </c>
      <c r="J39" s="20" t="str">
        <f t="shared" ca="1" si="14"/>
        <v/>
      </c>
      <c r="K39" s="14" t="str">
        <f t="shared" ca="1" si="3"/>
        <v/>
      </c>
      <c r="L39" s="14" t="str">
        <f t="shared" ca="1" si="4"/>
        <v/>
      </c>
      <c r="M39" s="14" t="str">
        <f t="shared" ca="1" si="5"/>
        <v/>
      </c>
      <c r="N39" s="14" t="str">
        <f t="shared" ca="1" si="6"/>
        <v/>
      </c>
      <c r="O39" s="58" t="e">
        <f t="shared" ca="1" si="15"/>
        <v>#DIV/0!</v>
      </c>
      <c r="P39" s="20" t="str">
        <f t="shared" ca="1" si="16"/>
        <v/>
      </c>
      <c r="Q39" s="14" t="str">
        <f t="shared" ca="1" si="7"/>
        <v/>
      </c>
      <c r="R39" s="14" t="str">
        <f t="shared" ca="1" si="8"/>
        <v/>
      </c>
      <c r="S39" s="14" t="str">
        <f t="shared" ca="1" si="9"/>
        <v/>
      </c>
      <c r="T39" s="14" t="str">
        <f t="shared" ca="1" si="10"/>
        <v/>
      </c>
      <c r="U39" s="58" t="e">
        <f t="shared" ca="1" si="17"/>
        <v>#DIV/0!</v>
      </c>
    </row>
    <row r="40" spans="1:21" x14ac:dyDescent="0.2">
      <c r="A40" s="68">
        <f t="shared" ca="1" si="19"/>
        <v>0</v>
      </c>
      <c r="B40" s="59" t="str">
        <f t="shared" ca="1" si="18"/>
        <v/>
      </c>
      <c r="C40" s="86">
        <f t="shared" ca="1" si="20"/>
        <v>0</v>
      </c>
      <c r="D40" s="20" t="str">
        <f t="shared" ca="1" si="11"/>
        <v/>
      </c>
      <c r="E40" s="14" t="str">
        <f t="shared" ca="1" si="0"/>
        <v/>
      </c>
      <c r="F40" s="14" t="str">
        <f t="shared" ca="1" si="1"/>
        <v/>
      </c>
      <c r="G40" s="14" t="str">
        <f t="shared" ca="1" si="12"/>
        <v/>
      </c>
      <c r="H40" s="14" t="str">
        <f t="shared" ca="1" si="2"/>
        <v/>
      </c>
      <c r="I40" s="58" t="e">
        <f t="shared" ca="1" si="13"/>
        <v>#DIV/0!</v>
      </c>
      <c r="J40" s="20" t="str">
        <f t="shared" ca="1" si="14"/>
        <v/>
      </c>
      <c r="K40" s="14" t="str">
        <f t="shared" ca="1" si="3"/>
        <v/>
      </c>
      <c r="L40" s="14" t="str">
        <f t="shared" ca="1" si="4"/>
        <v/>
      </c>
      <c r="M40" s="14" t="str">
        <f t="shared" ca="1" si="5"/>
        <v/>
      </c>
      <c r="N40" s="14" t="str">
        <f t="shared" ca="1" si="6"/>
        <v/>
      </c>
      <c r="O40" s="58" t="e">
        <f t="shared" ca="1" si="15"/>
        <v>#DIV/0!</v>
      </c>
      <c r="P40" s="20" t="str">
        <f t="shared" ca="1" si="16"/>
        <v/>
      </c>
      <c r="Q40" s="14" t="str">
        <f t="shared" ca="1" si="7"/>
        <v/>
      </c>
      <c r="R40" s="14" t="str">
        <f t="shared" ca="1" si="8"/>
        <v/>
      </c>
      <c r="S40" s="14" t="str">
        <f t="shared" ca="1" si="9"/>
        <v/>
      </c>
      <c r="T40" s="14" t="str">
        <f t="shared" ca="1" si="10"/>
        <v/>
      </c>
      <c r="U40" s="58" t="e">
        <f t="shared" ca="1" si="17"/>
        <v>#DIV/0!</v>
      </c>
    </row>
    <row r="41" spans="1:21" x14ac:dyDescent="0.2">
      <c r="A41" s="68">
        <f t="shared" ca="1" si="19"/>
        <v>0</v>
      </c>
      <c r="B41" s="59" t="str">
        <f t="shared" ca="1" si="18"/>
        <v/>
      </c>
      <c r="C41" s="86">
        <f t="shared" ca="1" si="20"/>
        <v>0</v>
      </c>
      <c r="D41" s="20" t="str">
        <f t="shared" ca="1" si="11"/>
        <v/>
      </c>
      <c r="E41" s="14" t="str">
        <f t="shared" ca="1" si="0"/>
        <v/>
      </c>
      <c r="F41" s="14" t="str">
        <f t="shared" ca="1" si="1"/>
        <v/>
      </c>
      <c r="G41" s="14" t="str">
        <f t="shared" ca="1" si="12"/>
        <v/>
      </c>
      <c r="H41" s="14" t="str">
        <f t="shared" ca="1" si="2"/>
        <v/>
      </c>
      <c r="I41" s="58" t="e">
        <f t="shared" ca="1" si="13"/>
        <v>#DIV/0!</v>
      </c>
      <c r="J41" s="20" t="str">
        <f t="shared" ca="1" si="14"/>
        <v/>
      </c>
      <c r="K41" s="14" t="str">
        <f t="shared" ca="1" si="3"/>
        <v/>
      </c>
      <c r="L41" s="14" t="str">
        <f t="shared" ca="1" si="4"/>
        <v/>
      </c>
      <c r="M41" s="14" t="str">
        <f t="shared" ca="1" si="5"/>
        <v/>
      </c>
      <c r="N41" s="14" t="str">
        <f t="shared" ca="1" si="6"/>
        <v/>
      </c>
      <c r="O41" s="58" t="e">
        <f t="shared" ca="1" si="15"/>
        <v>#DIV/0!</v>
      </c>
      <c r="P41" s="20" t="str">
        <f t="shared" ca="1" si="16"/>
        <v/>
      </c>
      <c r="Q41" s="14" t="str">
        <f t="shared" ca="1" si="7"/>
        <v/>
      </c>
      <c r="R41" s="14" t="str">
        <f t="shared" ca="1" si="8"/>
        <v/>
      </c>
      <c r="S41" s="14" t="str">
        <f t="shared" ca="1" si="9"/>
        <v/>
      </c>
      <c r="T41" s="14" t="str">
        <f t="shared" ca="1" si="10"/>
        <v/>
      </c>
      <c r="U41" s="58" t="e">
        <f t="shared" ca="1" si="17"/>
        <v>#DIV/0!</v>
      </c>
    </row>
    <row r="42" spans="1:21" x14ac:dyDescent="0.2">
      <c r="A42" s="68">
        <f t="shared" ca="1" si="19"/>
        <v>0</v>
      </c>
      <c r="B42" s="59" t="str">
        <f t="shared" ca="1" si="18"/>
        <v/>
      </c>
      <c r="C42" s="86">
        <f t="shared" ca="1" si="20"/>
        <v>0</v>
      </c>
      <c r="D42" s="20" t="str">
        <f t="shared" ca="1" si="11"/>
        <v/>
      </c>
      <c r="E42" s="14" t="str">
        <f t="shared" ca="1" si="0"/>
        <v/>
      </c>
      <c r="F42" s="14" t="str">
        <f t="shared" ca="1" si="1"/>
        <v/>
      </c>
      <c r="G42" s="14" t="str">
        <f t="shared" ca="1" si="12"/>
        <v/>
      </c>
      <c r="H42" s="14" t="str">
        <f t="shared" ca="1" si="2"/>
        <v/>
      </c>
      <c r="I42" s="58" t="e">
        <f t="shared" ca="1" si="13"/>
        <v>#DIV/0!</v>
      </c>
      <c r="J42" s="20" t="str">
        <f t="shared" ca="1" si="14"/>
        <v/>
      </c>
      <c r="K42" s="14" t="str">
        <f t="shared" ca="1" si="3"/>
        <v/>
      </c>
      <c r="L42" s="14" t="str">
        <f t="shared" ca="1" si="4"/>
        <v/>
      </c>
      <c r="M42" s="14" t="str">
        <f t="shared" ca="1" si="5"/>
        <v/>
      </c>
      <c r="N42" s="14" t="str">
        <f t="shared" ca="1" si="6"/>
        <v/>
      </c>
      <c r="O42" s="58" t="e">
        <f t="shared" ca="1" si="15"/>
        <v>#DIV/0!</v>
      </c>
      <c r="P42" s="20" t="str">
        <f t="shared" ca="1" si="16"/>
        <v/>
      </c>
      <c r="Q42" s="14" t="str">
        <f t="shared" ca="1" si="7"/>
        <v/>
      </c>
      <c r="R42" s="14" t="str">
        <f t="shared" ca="1" si="8"/>
        <v/>
      </c>
      <c r="S42" s="14" t="str">
        <f t="shared" ca="1" si="9"/>
        <v/>
      </c>
      <c r="T42" s="14" t="str">
        <f t="shared" ca="1" si="10"/>
        <v/>
      </c>
      <c r="U42" s="58" t="e">
        <f t="shared" ca="1" si="17"/>
        <v>#DIV/0!</v>
      </c>
    </row>
    <row r="43" spans="1:21" x14ac:dyDescent="0.2">
      <c r="A43" s="68">
        <f t="shared" ca="1" si="19"/>
        <v>0</v>
      </c>
      <c r="B43" s="59" t="str">
        <f t="shared" ca="1" si="18"/>
        <v/>
      </c>
      <c r="C43" s="86">
        <f t="shared" ca="1" si="20"/>
        <v>0</v>
      </c>
      <c r="D43" s="20" t="str">
        <f t="shared" ca="1" si="11"/>
        <v/>
      </c>
      <c r="E43" s="14" t="str">
        <f t="shared" ca="1" si="0"/>
        <v/>
      </c>
      <c r="F43" s="14" t="str">
        <f t="shared" ca="1" si="1"/>
        <v/>
      </c>
      <c r="G43" s="14" t="str">
        <f t="shared" ca="1" si="12"/>
        <v/>
      </c>
      <c r="H43" s="14" t="str">
        <f t="shared" ca="1" si="2"/>
        <v/>
      </c>
      <c r="I43" s="58" t="e">
        <f t="shared" ca="1" si="13"/>
        <v>#DIV/0!</v>
      </c>
      <c r="J43" s="20" t="str">
        <f t="shared" ca="1" si="14"/>
        <v/>
      </c>
      <c r="K43" s="14" t="str">
        <f t="shared" ca="1" si="3"/>
        <v/>
      </c>
      <c r="L43" s="14" t="str">
        <f t="shared" ca="1" si="4"/>
        <v/>
      </c>
      <c r="M43" s="14" t="str">
        <f t="shared" ca="1" si="5"/>
        <v/>
      </c>
      <c r="N43" s="14" t="str">
        <f t="shared" ca="1" si="6"/>
        <v/>
      </c>
      <c r="O43" s="58" t="e">
        <f t="shared" ca="1" si="15"/>
        <v>#DIV/0!</v>
      </c>
      <c r="P43" s="20" t="str">
        <f t="shared" ca="1" si="16"/>
        <v/>
      </c>
      <c r="Q43" s="14" t="str">
        <f t="shared" ca="1" si="7"/>
        <v/>
      </c>
      <c r="R43" s="14" t="str">
        <f t="shared" ca="1" si="8"/>
        <v/>
      </c>
      <c r="S43" s="14" t="str">
        <f t="shared" ca="1" si="9"/>
        <v/>
      </c>
      <c r="T43" s="14" t="str">
        <f t="shared" ca="1" si="10"/>
        <v/>
      </c>
      <c r="U43" s="58" t="e">
        <f t="shared" ca="1" si="17"/>
        <v>#DIV/0!</v>
      </c>
    </row>
    <row r="44" spans="1:21" x14ac:dyDescent="0.2">
      <c r="A44" s="68">
        <f t="shared" ca="1" si="19"/>
        <v>0</v>
      </c>
      <c r="B44" s="59" t="str">
        <f t="shared" ca="1" si="18"/>
        <v/>
      </c>
      <c r="C44" s="86">
        <f t="shared" ca="1" si="20"/>
        <v>0</v>
      </c>
      <c r="D44" s="20" t="str">
        <f t="shared" ca="1" si="11"/>
        <v/>
      </c>
      <c r="E44" s="14" t="str">
        <f t="shared" ca="1" si="0"/>
        <v/>
      </c>
      <c r="F44" s="14" t="str">
        <f t="shared" ca="1" si="1"/>
        <v/>
      </c>
      <c r="G44" s="14" t="str">
        <f t="shared" ca="1" si="12"/>
        <v/>
      </c>
      <c r="H44" s="14" t="str">
        <f t="shared" ca="1" si="2"/>
        <v/>
      </c>
      <c r="I44" s="58" t="e">
        <f t="shared" ca="1" si="13"/>
        <v>#DIV/0!</v>
      </c>
      <c r="J44" s="20" t="str">
        <f t="shared" ca="1" si="14"/>
        <v/>
      </c>
      <c r="K44" s="14" t="str">
        <f t="shared" ca="1" si="3"/>
        <v/>
      </c>
      <c r="L44" s="14" t="str">
        <f t="shared" ca="1" si="4"/>
        <v/>
      </c>
      <c r="M44" s="14" t="str">
        <f t="shared" ca="1" si="5"/>
        <v/>
      </c>
      <c r="N44" s="14" t="str">
        <f t="shared" ca="1" si="6"/>
        <v/>
      </c>
      <c r="O44" s="58" t="e">
        <f t="shared" ca="1" si="15"/>
        <v>#DIV/0!</v>
      </c>
      <c r="P44" s="20" t="str">
        <f t="shared" ca="1" si="16"/>
        <v/>
      </c>
      <c r="Q44" s="14" t="str">
        <f t="shared" ca="1" si="7"/>
        <v/>
      </c>
      <c r="R44" s="14" t="str">
        <f t="shared" ca="1" si="8"/>
        <v/>
      </c>
      <c r="S44" s="14" t="str">
        <f t="shared" ca="1" si="9"/>
        <v/>
      </c>
      <c r="T44" s="14" t="str">
        <f t="shared" ca="1" si="10"/>
        <v/>
      </c>
      <c r="U44" s="58" t="e">
        <f t="shared" ca="1" si="17"/>
        <v>#DIV/0!</v>
      </c>
    </row>
    <row r="45" spans="1:21" x14ac:dyDescent="0.2">
      <c r="A45" s="68">
        <f t="shared" ca="1" si="19"/>
        <v>0</v>
      </c>
      <c r="B45" s="59" t="str">
        <f t="shared" ca="1" si="18"/>
        <v/>
      </c>
      <c r="C45" s="86">
        <f t="shared" ca="1" si="20"/>
        <v>0</v>
      </c>
      <c r="D45" s="20" t="str">
        <f t="shared" ca="1" si="11"/>
        <v/>
      </c>
      <c r="E45" s="14" t="str">
        <f t="shared" ca="1" si="0"/>
        <v/>
      </c>
      <c r="F45" s="14" t="str">
        <f t="shared" ca="1" si="1"/>
        <v/>
      </c>
      <c r="G45" s="14" t="str">
        <f t="shared" ca="1" si="12"/>
        <v/>
      </c>
      <c r="H45" s="14" t="str">
        <f t="shared" ca="1" si="2"/>
        <v/>
      </c>
      <c r="I45" s="58" t="e">
        <f t="shared" ca="1" si="13"/>
        <v>#DIV/0!</v>
      </c>
      <c r="J45" s="20" t="str">
        <f t="shared" ca="1" si="14"/>
        <v/>
      </c>
      <c r="K45" s="14" t="str">
        <f t="shared" ca="1" si="3"/>
        <v/>
      </c>
      <c r="L45" s="14" t="str">
        <f t="shared" ca="1" si="4"/>
        <v/>
      </c>
      <c r="M45" s="14" t="str">
        <f t="shared" ca="1" si="5"/>
        <v/>
      </c>
      <c r="N45" s="14" t="str">
        <f t="shared" ca="1" si="6"/>
        <v/>
      </c>
      <c r="O45" s="58" t="e">
        <f t="shared" ca="1" si="15"/>
        <v>#DIV/0!</v>
      </c>
      <c r="P45" s="20" t="str">
        <f t="shared" ca="1" si="16"/>
        <v/>
      </c>
      <c r="Q45" s="14" t="str">
        <f t="shared" ca="1" si="7"/>
        <v/>
      </c>
      <c r="R45" s="14" t="str">
        <f t="shared" ca="1" si="8"/>
        <v/>
      </c>
      <c r="S45" s="14" t="str">
        <f t="shared" ca="1" si="9"/>
        <v/>
      </c>
      <c r="T45" s="14" t="str">
        <f t="shared" ca="1" si="10"/>
        <v/>
      </c>
      <c r="U45" s="58" t="e">
        <f t="shared" ca="1" si="17"/>
        <v>#DIV/0!</v>
      </c>
    </row>
    <row r="46" spans="1:21" x14ac:dyDescent="0.2">
      <c r="A46" s="68">
        <f t="shared" ca="1" si="19"/>
        <v>0</v>
      </c>
      <c r="B46" s="59" t="str">
        <f t="shared" ca="1" si="18"/>
        <v/>
      </c>
      <c r="C46" s="86">
        <f t="shared" ca="1" si="20"/>
        <v>0</v>
      </c>
      <c r="D46" s="20" t="str">
        <f t="shared" ca="1" si="11"/>
        <v/>
      </c>
      <c r="E46" s="14" t="str">
        <f t="shared" ca="1" si="0"/>
        <v/>
      </c>
      <c r="F46" s="14" t="str">
        <f t="shared" ca="1" si="1"/>
        <v/>
      </c>
      <c r="G46" s="14" t="str">
        <f t="shared" ca="1" si="12"/>
        <v/>
      </c>
      <c r="H46" s="14" t="str">
        <f t="shared" ca="1" si="2"/>
        <v/>
      </c>
      <c r="I46" s="58" t="e">
        <f t="shared" ca="1" si="13"/>
        <v>#DIV/0!</v>
      </c>
      <c r="J46" s="20" t="str">
        <f t="shared" ca="1" si="14"/>
        <v/>
      </c>
      <c r="K46" s="14" t="str">
        <f t="shared" ca="1" si="3"/>
        <v/>
      </c>
      <c r="L46" s="14" t="str">
        <f t="shared" ca="1" si="4"/>
        <v/>
      </c>
      <c r="M46" s="14" t="str">
        <f t="shared" ca="1" si="5"/>
        <v/>
      </c>
      <c r="N46" s="14" t="str">
        <f t="shared" ca="1" si="6"/>
        <v/>
      </c>
      <c r="O46" s="58" t="e">
        <f t="shared" ca="1" si="15"/>
        <v>#DIV/0!</v>
      </c>
      <c r="P46" s="20" t="str">
        <f t="shared" ca="1" si="16"/>
        <v/>
      </c>
      <c r="Q46" s="14" t="str">
        <f t="shared" ca="1" si="7"/>
        <v/>
      </c>
      <c r="R46" s="14" t="str">
        <f t="shared" ca="1" si="8"/>
        <v/>
      </c>
      <c r="S46" s="14" t="str">
        <f t="shared" ca="1" si="9"/>
        <v/>
      </c>
      <c r="T46" s="14" t="str">
        <f t="shared" ca="1" si="10"/>
        <v/>
      </c>
      <c r="U46" s="58" t="e">
        <f t="shared" ca="1" si="17"/>
        <v>#DIV/0!</v>
      </c>
    </row>
    <row r="47" spans="1:21" x14ac:dyDescent="0.2">
      <c r="A47" s="68">
        <f t="shared" ca="1" si="19"/>
        <v>0</v>
      </c>
      <c r="B47" s="59" t="str">
        <f t="shared" ca="1" si="18"/>
        <v/>
      </c>
      <c r="C47" s="86">
        <f t="shared" ca="1" si="20"/>
        <v>0</v>
      </c>
      <c r="D47" s="20" t="str">
        <f t="shared" ca="1" si="11"/>
        <v/>
      </c>
      <c r="E47" s="14" t="str">
        <f t="shared" ca="1" si="0"/>
        <v/>
      </c>
      <c r="F47" s="14" t="str">
        <f t="shared" ca="1" si="1"/>
        <v/>
      </c>
      <c r="G47" s="14" t="str">
        <f t="shared" ca="1" si="12"/>
        <v/>
      </c>
      <c r="H47" s="14" t="str">
        <f t="shared" ca="1" si="2"/>
        <v/>
      </c>
      <c r="I47" s="58" t="e">
        <f t="shared" ca="1" si="13"/>
        <v>#DIV/0!</v>
      </c>
      <c r="J47" s="20" t="str">
        <f t="shared" ca="1" si="14"/>
        <v/>
      </c>
      <c r="K47" s="14" t="str">
        <f t="shared" ca="1" si="3"/>
        <v/>
      </c>
      <c r="L47" s="14" t="str">
        <f t="shared" ca="1" si="4"/>
        <v/>
      </c>
      <c r="M47" s="14" t="str">
        <f t="shared" ca="1" si="5"/>
        <v/>
      </c>
      <c r="N47" s="14" t="str">
        <f t="shared" ca="1" si="6"/>
        <v/>
      </c>
      <c r="O47" s="58" t="e">
        <f t="shared" ca="1" si="15"/>
        <v>#DIV/0!</v>
      </c>
      <c r="P47" s="20" t="str">
        <f t="shared" ca="1" si="16"/>
        <v/>
      </c>
      <c r="Q47" s="14" t="str">
        <f t="shared" ca="1" si="7"/>
        <v/>
      </c>
      <c r="R47" s="14" t="str">
        <f t="shared" ca="1" si="8"/>
        <v/>
      </c>
      <c r="S47" s="14" t="str">
        <f t="shared" ca="1" si="9"/>
        <v/>
      </c>
      <c r="T47" s="14" t="str">
        <f t="shared" ca="1" si="10"/>
        <v/>
      </c>
      <c r="U47" s="58" t="e">
        <f t="shared" ca="1" si="17"/>
        <v>#DIV/0!</v>
      </c>
    </row>
    <row r="48" spans="1:21" x14ac:dyDescent="0.2">
      <c r="A48" s="68">
        <f t="shared" ca="1" si="19"/>
        <v>0</v>
      </c>
      <c r="B48" s="59" t="str">
        <f t="shared" ca="1" si="18"/>
        <v/>
      </c>
      <c r="C48" s="86">
        <f t="shared" ca="1" si="20"/>
        <v>0</v>
      </c>
      <c r="D48" s="20" t="str">
        <f t="shared" ca="1" si="11"/>
        <v/>
      </c>
      <c r="E48" s="14" t="str">
        <f t="shared" ca="1" si="0"/>
        <v/>
      </c>
      <c r="F48" s="14" t="str">
        <f t="shared" ca="1" si="1"/>
        <v/>
      </c>
      <c r="G48" s="14" t="str">
        <f t="shared" ca="1" si="12"/>
        <v/>
      </c>
      <c r="H48" s="14" t="str">
        <f t="shared" ca="1" si="2"/>
        <v/>
      </c>
      <c r="I48" s="58" t="e">
        <f t="shared" ca="1" si="13"/>
        <v>#DIV/0!</v>
      </c>
      <c r="J48" s="20" t="str">
        <f t="shared" ca="1" si="14"/>
        <v/>
      </c>
      <c r="K48" s="14" t="str">
        <f t="shared" ca="1" si="3"/>
        <v/>
      </c>
      <c r="L48" s="14" t="str">
        <f t="shared" ca="1" si="4"/>
        <v/>
      </c>
      <c r="M48" s="14" t="str">
        <f t="shared" ca="1" si="5"/>
        <v/>
      </c>
      <c r="N48" s="14" t="str">
        <f t="shared" ca="1" si="6"/>
        <v/>
      </c>
      <c r="O48" s="58" t="e">
        <f t="shared" ca="1" si="15"/>
        <v>#DIV/0!</v>
      </c>
      <c r="P48" s="20" t="str">
        <f t="shared" ca="1" si="16"/>
        <v/>
      </c>
      <c r="Q48" s="14" t="str">
        <f t="shared" ca="1" si="7"/>
        <v/>
      </c>
      <c r="R48" s="14" t="str">
        <f t="shared" ca="1" si="8"/>
        <v/>
      </c>
      <c r="S48" s="14" t="str">
        <f t="shared" ca="1" si="9"/>
        <v/>
      </c>
      <c r="T48" s="14" t="str">
        <f t="shared" ca="1" si="10"/>
        <v/>
      </c>
      <c r="U48" s="58" t="e">
        <f t="shared" ca="1" si="17"/>
        <v>#DIV/0!</v>
      </c>
    </row>
    <row r="49" spans="1:21" x14ac:dyDescent="0.2">
      <c r="A49" s="68">
        <f t="shared" ca="1" si="19"/>
        <v>0</v>
      </c>
      <c r="B49" s="59" t="str">
        <f t="shared" ca="1" si="18"/>
        <v/>
      </c>
      <c r="C49" s="86">
        <f t="shared" ca="1" si="20"/>
        <v>0</v>
      </c>
      <c r="D49" s="20" t="str">
        <f t="shared" ca="1" si="11"/>
        <v/>
      </c>
      <c r="E49" s="14" t="str">
        <f t="shared" ca="1" si="0"/>
        <v/>
      </c>
      <c r="F49" s="14" t="str">
        <f t="shared" ca="1" si="1"/>
        <v/>
      </c>
      <c r="G49" s="14" t="str">
        <f t="shared" ca="1" si="12"/>
        <v/>
      </c>
      <c r="H49" s="14" t="str">
        <f t="shared" ca="1" si="2"/>
        <v/>
      </c>
      <c r="I49" s="58" t="e">
        <f t="shared" ca="1" si="13"/>
        <v>#DIV/0!</v>
      </c>
      <c r="J49" s="20" t="str">
        <f t="shared" ca="1" si="14"/>
        <v/>
      </c>
      <c r="K49" s="14" t="str">
        <f t="shared" ca="1" si="3"/>
        <v/>
      </c>
      <c r="L49" s="14" t="str">
        <f t="shared" ca="1" si="4"/>
        <v/>
      </c>
      <c r="M49" s="14" t="str">
        <f t="shared" ca="1" si="5"/>
        <v/>
      </c>
      <c r="N49" s="14" t="str">
        <f t="shared" ca="1" si="6"/>
        <v/>
      </c>
      <c r="O49" s="58" t="e">
        <f t="shared" ca="1" si="15"/>
        <v>#DIV/0!</v>
      </c>
      <c r="P49" s="20" t="str">
        <f t="shared" ca="1" si="16"/>
        <v/>
      </c>
      <c r="Q49" s="14" t="str">
        <f t="shared" ca="1" si="7"/>
        <v/>
      </c>
      <c r="R49" s="14" t="str">
        <f t="shared" ca="1" si="8"/>
        <v/>
      </c>
      <c r="S49" s="14" t="str">
        <f t="shared" ca="1" si="9"/>
        <v/>
      </c>
      <c r="T49" s="14" t="str">
        <f t="shared" ca="1" si="10"/>
        <v/>
      </c>
      <c r="U49" s="58" t="e">
        <f t="shared" ca="1" si="17"/>
        <v>#DIV/0!</v>
      </c>
    </row>
    <row r="50" spans="1:21" ht="13.5" thickBot="1" x14ac:dyDescent="0.25">
      <c r="A50" s="94">
        <f t="shared" ca="1" si="19"/>
        <v>0</v>
      </c>
      <c r="B50" s="95" t="str">
        <f t="shared" ca="1" si="18"/>
        <v/>
      </c>
      <c r="C50" s="96">
        <f t="shared" ca="1" si="20"/>
        <v>0</v>
      </c>
      <c r="D50" s="20" t="str">
        <f t="shared" ca="1" si="11"/>
        <v/>
      </c>
      <c r="E50" s="14" t="str">
        <f t="shared" ca="1" si="0"/>
        <v/>
      </c>
      <c r="F50" s="14" t="str">
        <f t="shared" ca="1" si="1"/>
        <v/>
      </c>
      <c r="G50" s="14" t="str">
        <f t="shared" ca="1" si="12"/>
        <v/>
      </c>
      <c r="H50" s="14" t="str">
        <f t="shared" ca="1" si="2"/>
        <v/>
      </c>
      <c r="I50" s="58" t="e">
        <f t="shared" ca="1" si="13"/>
        <v>#DIV/0!</v>
      </c>
      <c r="J50" s="20" t="str">
        <f t="shared" ca="1" si="14"/>
        <v/>
      </c>
      <c r="K50" s="14" t="str">
        <f t="shared" ca="1" si="3"/>
        <v/>
      </c>
      <c r="L50" s="14" t="str">
        <f t="shared" ca="1" si="4"/>
        <v/>
      </c>
      <c r="M50" s="14" t="str">
        <f t="shared" ca="1" si="5"/>
        <v/>
      </c>
      <c r="N50" s="14" t="str">
        <f t="shared" ca="1" si="6"/>
        <v/>
      </c>
      <c r="O50" s="58" t="e">
        <f t="shared" ca="1" si="15"/>
        <v>#DIV/0!</v>
      </c>
      <c r="P50" s="20" t="str">
        <f t="shared" ca="1" si="16"/>
        <v/>
      </c>
      <c r="Q50" s="14" t="str">
        <f t="shared" ca="1" si="7"/>
        <v/>
      </c>
      <c r="R50" s="14" t="str">
        <f t="shared" ca="1" si="8"/>
        <v/>
      </c>
      <c r="S50" s="14" t="str">
        <f t="shared" ca="1" si="9"/>
        <v/>
      </c>
      <c r="T50" s="14" t="str">
        <f t="shared" ca="1" si="10"/>
        <v/>
      </c>
      <c r="U50" s="58" t="e">
        <f t="shared" ca="1" si="17"/>
        <v>#DIV/0!</v>
      </c>
    </row>
    <row r="51" spans="1:21" x14ac:dyDescent="0.2">
      <c r="A51" s="131" t="s">
        <v>51</v>
      </c>
      <c r="B51" s="131"/>
      <c r="C51" s="66"/>
      <c r="D51" s="66"/>
      <c r="E51" s="71" t="str">
        <f ca="1">"R(min) = "&amp;H3&amp;" "&amp;I3&amp;IF(Metric,"","  or  D(max) = "&amp;TEXT(MROUND(DxR/VLOOKUP(D4,INDIRECT("Speed"&amp;_num),6,0)/24,0.25/24),"[h]° m' ss\"""))</f>
        <v>R(min) = 340 ft  or  D(max) = 16° 45' 00"</v>
      </c>
      <c r="F51" s="71"/>
      <c r="G51" s="71"/>
      <c r="H51" s="71"/>
      <c r="I51" s="66"/>
      <c r="J51" s="66"/>
      <c r="K51" s="71" t="str">
        <f ca="1">"R(min) = "&amp;N3&amp;" "&amp;O3&amp;IF(Metric,"","  or  D(max) = "&amp;TEXT(MROUND(DxR/VLOOKUP(J4,INDIRECT("Speed"&amp;_num),6,0)/24,0.25/24),"[h]° m' ss\"""))</f>
        <v>R(min) = 485 ft  or  D(max) = 11° 45' 00"</v>
      </c>
      <c r="L51" s="71"/>
      <c r="M51" s="71"/>
      <c r="N51" s="71"/>
      <c r="O51" s="66"/>
      <c r="P51" s="66"/>
      <c r="Q51" s="71" t="str">
        <f ca="1">"R(min) = "&amp;T3&amp;" "&amp;U3&amp;IF(Metric,"","  or  D(max) = "&amp;TEXT(MROUND(DxR/VLOOKUP(P4,INDIRECT("Speed"&amp;_num),6,0)/24,0.25/24),"[h]° m' ss\"""))</f>
        <v>R(min) = 643 ft  or  D(max) = 9° 0' 00"</v>
      </c>
      <c r="R51" s="71"/>
      <c r="S51" s="71"/>
      <c r="T51" s="71"/>
      <c r="U51" s="66"/>
    </row>
    <row r="52" spans="1:21" x14ac:dyDescent="0.2">
      <c r="A52" s="67" t="s">
        <v>57</v>
      </c>
      <c r="B52" t="s">
        <v>50</v>
      </c>
    </row>
    <row r="53" spans="1:21" ht="15.75" x14ac:dyDescent="0.3">
      <c r="A53" s="67" t="s">
        <v>78</v>
      </c>
      <c r="B53" t="s">
        <v>76</v>
      </c>
      <c r="F53" s="4" t="s">
        <v>52</v>
      </c>
      <c r="G53" s="87">
        <f ca="1">INDEX($C5:$C50,MATCH(MIN(G5:G51),G5:G51,0),1)</f>
        <v>643</v>
      </c>
      <c r="H53" t="str">
        <f>Length</f>
        <v>ft</v>
      </c>
      <c r="L53" s="4" t="s">
        <v>52</v>
      </c>
      <c r="M53" s="87">
        <f ca="1">INDEX($C5:$C50,MATCH(MIN(M5:M51),M5:M51,0),1)</f>
        <v>643</v>
      </c>
      <c r="N53" t="str">
        <f>Length</f>
        <v>ft</v>
      </c>
      <c r="R53" s="4" t="s">
        <v>52</v>
      </c>
      <c r="S53" s="87">
        <f ca="1">INDEX($C5:$C50,MATCH(MIN(S5:S51),S5:S51,0),1)</f>
        <v>643</v>
      </c>
      <c r="T53" t="str">
        <f>Length</f>
        <v>ft</v>
      </c>
    </row>
    <row r="54" spans="1:21" ht="15.75" x14ac:dyDescent="0.3">
      <c r="A54" s="21">
        <v>2E-3</v>
      </c>
      <c r="B54" t="s">
        <v>44</v>
      </c>
      <c r="F54" s="4" t="s">
        <v>53</v>
      </c>
      <c r="G54" s="103">
        <f ca="1">CEILING((CONVERT(D4,IF(Metric,"km","mi"),Length)/3600)^2/VLOOKUP("lat_accel",Constants,_num,0),10^(MAX(0,INT(LOG((CONVERT(D4,IF(Metric,"km","mi"),Length)/3600)^2/VLOOKUP("lat_accel",Constants,_num,0)))-2)))</f>
        <v>1150</v>
      </c>
      <c r="H54" s="19" t="str">
        <f ca="1">Length&amp;"  ("&amp;FLOOR((CONVERT(D4,IF(Metric,"km","mi"),Length)/3600)^2/IF(Metric,1.3,4.25),1)&amp;" "&amp;Length&amp;" GB)"</f>
        <v>ft  (620 ft GB)</v>
      </c>
      <c r="L54" s="4" t="s">
        <v>53</v>
      </c>
      <c r="M54" s="103">
        <f ca="1">CEILING((CONVERT(J4,IF(Metric,"km","mi"),Length)/3600)^2/VLOOKUP("lat_accel",Constants,_num,0),10^(MAX(0,INT(LOG((CONVERT(J4,IF(Metric,"km","mi"),Length)/3600)^2/VLOOKUP("lat_accel",Constants,_num,0)))-2)))</f>
        <v>1500</v>
      </c>
      <c r="N54" s="19" t="str">
        <f ca="1">Length&amp;"  ("&amp;FLOOR((CONVERT(J4,IF(Metric,"km","mi"),Length)/3600)^2/IF(Metric,1.3,4.25),1)&amp;" "&amp;Length&amp;" GB)"</f>
        <v>ft  (809 ft GB)</v>
      </c>
      <c r="R54" s="4" t="s">
        <v>53</v>
      </c>
      <c r="S54" s="103">
        <f ca="1">CEILING((CONVERT(P4,IF(Metric,"km","mi"),Length)/3600)^2/VLOOKUP("lat_accel",Constants,_num,0),10^(MAX(0,INT(LOG((CONVERT(P4,IF(Metric,"km","mi"),Length)/3600)^2/VLOOKUP("lat_accel",Constants,_num,0)))-2)))</f>
        <v>1900</v>
      </c>
      <c r="T54" s="19" t="str">
        <f ca="1">Length&amp;"  ("&amp;FLOOR((CONVERT(P4,IF(Metric,"km","mi"),Length)/3600)^2/IF(Metric,1.3,4.25),1)&amp;" "&amp;Length&amp;" GB)"</f>
        <v>ft  (1024 ft GB)</v>
      </c>
    </row>
    <row r="55" spans="1:21" ht="15.75" x14ac:dyDescent="0.3">
      <c r="A55" s="23">
        <v>1</v>
      </c>
      <c r="B55" t="str">
        <f>Length&amp;" ("&amp;ROUND(CONVERT(Round_L,Length,IF(Metric,"ft","m")),1)&amp;" "&amp;IF(Metric,"ft","m")&amp;") rounding"</f>
        <v>ft (0.3 m) rounding</v>
      </c>
      <c r="F55" s="4" t="s">
        <v>75</v>
      </c>
      <c r="G55" s="103">
        <f ca="1">MROUND(D4*4*IF(Metric,1000,5280)/3600,VLOOKUP("round",Constants,_num,0))</f>
        <v>205</v>
      </c>
      <c r="H55" s="19" t="str">
        <f>Length</f>
        <v>ft</v>
      </c>
      <c r="L55" s="4" t="s">
        <v>75</v>
      </c>
      <c r="M55" s="103">
        <f ca="1">MROUND(J4*4*IF(Metric,1000,5280)/3600,VLOOKUP("round",Constants,_num,0))</f>
        <v>235</v>
      </c>
      <c r="N55" s="19" t="str">
        <f>Length</f>
        <v>ft</v>
      </c>
      <c r="R55" s="4" t="s">
        <v>75</v>
      </c>
      <c r="S55" s="103">
        <f ca="1">MROUND(P4*4*IF(Metric,1000,5280)/3600,VLOOKUP("round",Constants,_num,0))</f>
        <v>265</v>
      </c>
      <c r="T55" s="19" t="str">
        <f>Length</f>
        <v>ft</v>
      </c>
    </row>
    <row r="56" spans="1:21" x14ac:dyDescent="0.2">
      <c r="A56" s="2">
        <f>IF(Metric,2,3)</f>
        <v>3</v>
      </c>
      <c r="B56" t="s">
        <v>41</v>
      </c>
    </row>
    <row r="57" spans="1:21" ht="13.5" thickBot="1" x14ac:dyDescent="0.25">
      <c r="A57" t="b">
        <f>A1="Metric"</f>
        <v>0</v>
      </c>
      <c r="B57" t="s">
        <v>49</v>
      </c>
      <c r="F57" s="70" t="str">
        <f>HYPERLINK("#D6","Go to top")</f>
        <v>Go to top</v>
      </c>
      <c r="L57" s="70" t="str">
        <f>HYPERLINK("#D6","Go to top")</f>
        <v>Go to top</v>
      </c>
      <c r="R57" s="70" t="str">
        <f>HYPERLINK("#D6","Go to top")</f>
        <v>Go to top</v>
      </c>
    </row>
    <row r="58" spans="1:21" x14ac:dyDescent="0.2">
      <c r="A58" t="b">
        <f>AND(NOT(Metric),_list="▼ DC_List")</f>
        <v>0</v>
      </c>
      <c r="B58" t="s">
        <v>58</v>
      </c>
    </row>
    <row r="60" spans="1:21" ht="13.5" thickBot="1" x14ac:dyDescent="0.25">
      <c r="B60" s="70" t="str">
        <f>HYPERLINK("#C6","Go to top")</f>
        <v>Go to top</v>
      </c>
    </row>
    <row r="62" spans="1:21" x14ac:dyDescent="0.2">
      <c r="I62" s="138"/>
    </row>
  </sheetData>
  <sheetProtection sheet="1" objects="1" scenarios="1"/>
  <mergeCells count="1">
    <mergeCell ref="A1:B1"/>
  </mergeCells>
  <phoneticPr fontId="0" type="noConversion"/>
  <conditionalFormatting sqref="C3">
    <cfRule type="cellIs" dxfId="11" priority="1" stopIfTrue="1" operator="notBetween">
      <formula>1</formula>
      <formula>3.5</formula>
    </cfRule>
    <cfRule type="expression" dxfId="10" priority="2" stopIfTrue="1">
      <formula>INT(C3*2)&lt;&gt;C3*2</formula>
    </cfRule>
  </conditionalFormatting>
  <conditionalFormatting sqref="A3">
    <cfRule type="expression" dxfId="9" priority="3" stopIfTrue="1">
      <formula>ISNUMBER(FIND("ERROR",A3))</formula>
    </cfRule>
  </conditionalFormatting>
  <conditionalFormatting sqref="B5:B50">
    <cfRule type="expression" dxfId="8" priority="4" stopIfTrue="1">
      <formula>Metric</formula>
    </cfRule>
  </conditionalFormatting>
  <conditionalFormatting sqref="A2">
    <cfRule type="expression" dxfId="7" priority="5" stopIfTrue="1">
      <formula>ISNA(MATCH(A2,INDIRECT("Speeds"&amp;_num),0))</formula>
    </cfRule>
  </conditionalFormatting>
  <conditionalFormatting sqref="B2">
    <cfRule type="expression" dxfId="6" priority="6" stopIfTrue="1">
      <formula>ISNA(MATCH(A2,INDIRECT("Speeds"&amp;_num),0))</formula>
    </cfRule>
  </conditionalFormatting>
  <conditionalFormatting sqref="C4">
    <cfRule type="expression" dxfId="5" priority="7" stopIfTrue="1">
      <formula>NOT(Metric)</formula>
    </cfRule>
  </conditionalFormatting>
  <conditionalFormatting sqref="F6:F50 L6:L50 R6:R50">
    <cfRule type="expression" dxfId="4" priority="8" stopIfTrue="1">
      <formula>AND($C6&gt;G$54,F6&lt;&gt;"")</formula>
    </cfRule>
  </conditionalFormatting>
  <conditionalFormatting sqref="H6:H50 N6:N50 T6:T50">
    <cfRule type="expression" dxfId="3" priority="9" stopIfTrue="1">
      <formula>AND($C6&gt;G$54,H6&lt;&gt;"")</formula>
    </cfRule>
  </conditionalFormatting>
  <conditionalFormatting sqref="G53 M53 S53">
    <cfRule type="expression" dxfId="2" priority="10" stopIfTrue="1">
      <formula>AND($C87&gt;H$54,G53&lt;&gt;"")</formula>
    </cfRule>
  </conditionalFormatting>
  <conditionalFormatting sqref="G6:G50 M6:M50 S6:S50">
    <cfRule type="expression" dxfId="1" priority="11" stopIfTrue="1">
      <formula>AND(G6&gt;MIN(G$5:G$85),$C6&gt;G$53,G6&lt;&gt;"")</formula>
    </cfRule>
    <cfRule type="expression" dxfId="0" priority="12" stopIfTrue="1">
      <formula>AND($C6&gt;G$54,G6&lt;&gt;"")</formula>
    </cfRule>
  </conditionalFormatting>
  <dataValidations count="16">
    <dataValidation type="decimal" errorStyle="warning" allowBlank="1" showInputMessage="1" showErrorMessage="1" errorTitle="Invalid maximum superelevation" error="Normal values for maximum superelevation are 4%, 6%, 8%, 10%, and 12%." promptTitle="Maximum superelevation rate" prompt="Input rate as percentage." sqref="C1">
      <formula1>0.02</formula1>
      <formula2>0.25</formula2>
    </dataValidation>
    <dataValidation type="decimal" allowBlank="1" showInputMessage="1" showErrorMessage="1" errorTitle="Invalid Cross Slope" error="Input value between 1.5% and 2% for high surface types.  Input value between 2% and 6% for low surface types." promptTitle="Normal Cross Slope" prompt="Input rate, usually 2%" sqref="C2">
      <formula1>0.015</formula1>
      <formula2>0.06</formula2>
    </dataValidation>
    <dataValidation type="list" allowBlank="1" showInputMessage="1" showErrorMessage="1" errorTitle="Invalid number lanes" error="See Exhibit 3-28" promptTitle="Number of Lanes Rotated" prompt="See Exhibit 3-28" sqref="C3">
      <formula1>"1, 1.5, 2, 2.5, 3, 3.5"</formula1>
    </dataValidation>
    <dataValidation type="decimal" operator="greaterThan" allowBlank="1" showInputMessage="1" showErrorMessage="1" errorTitle="Invalid Radius" error="Radius must be greater than zero." promptTitle="Radius" prompt="User input radius" sqref="C9 A11">
      <formula1>0</formula1>
    </dataValidation>
    <dataValidation allowBlank="1" showInputMessage="1" showErrorMessage="1" promptTitle="Best spiral length" prompt="The best minimum spiral length._x000a_Spiral not needed for shaded values." sqref="G5 M5 S5"/>
    <dataValidation type="list" allowBlank="1" showInputMessage="1" showErrorMessage="1" promptTitle="Design Speed" prompt="Input the design speed for the middle column.  The other columns will be above and below this value." sqref="A2">
      <formula1>INDIRECT("Speeds"&amp;_num)</formula1>
    </dataValidation>
    <dataValidation type="decimal" operator="greaterThan" allowBlank="1" showInputMessage="1" showErrorMessage="1" promptTitle="Travel Lane Width" prompt="Input width of travel lane in either Metric or US Customary Units.  Normally set this to 3.6 m [12 ft] even if the actual travel lane is narrower." sqref="B3">
      <formula1>0</formula1>
    </dataValidation>
    <dataValidation type="custom" allowBlank="1" showInputMessage="1" showErrorMessage="1" errorTitle="Out of range" promptTitle="Degree of Curvature" prompt="Input in the format 2:30:15 to get 2 degrees, 30 minutes, 15 seconds." sqref="B10">
      <formula1>AND(B10&gt;0,B10&lt;=7)</formula1>
    </dataValidation>
    <dataValidation type="list" allowBlank="1" showInputMessage="1" showErrorMessage="1" promptTitle="Radius Listing" prompt="For US Customary units select whether to show a Radius listing, &quot;R_List&quot; (AASHTO 2001), or a Degree of curvature listing, &quot;DC_List&quot; (AASHTO 1990)." sqref="A52">
      <formula1>"▼ R_List,▼ DC_List"</formula1>
    </dataValidation>
    <dataValidation type="list" allowBlank="1" showInputMessage="1" showErrorMessage="1" promptTitle="Units" prompt="Select units of measurement." sqref="A1:B1">
      <formula1>"Metric,US_Customary"</formula1>
    </dataValidation>
    <dataValidation type="decimal" allowBlank="1" showInputMessage="1" showErrorMessage="1" errorTitle="Out of Range!" error="Normally enter some value less than 1%." promptTitle="Superelevation Rounding" prompt="Round superelevation to this value." sqref="A54">
      <formula1>0.0000001</formula1>
      <formula2>0.02</formula2>
    </dataValidation>
    <dataValidation type="decimal" allowBlank="1" showInputMessage="1" showErrorMessage="1" errorTitle="Error!" error="Enter number greater than zero but not more than 3 m [10 ft].  2001 Green Book uses value of 1." promptTitle="Rounding" prompt="Round runoff and spiral lengths to this value." sqref="A55">
      <formula1>0.0001</formula1>
      <formula2>VLOOKUP("round",Constants,_num,0)</formula2>
    </dataValidation>
    <dataValidation allowBlank="1" showInputMessage="1" showErrorMessage="1" promptTitle="Information" prompt="Minimum radii" sqref="A6:A8 C6:C8"/>
    <dataValidation allowBlank="1" showInputMessage="1" showErrorMessage="1" promptTitle="Information" prompt="Minimum degree of curvature" sqref="B6:B8"/>
    <dataValidation type="list" allowBlank="1" showInputMessage="1" showErrorMessage="1" promptTitle="Desirable Spiral Length" prompt="Choose either the PDDM setting (2.3 sec travel time) or the Green Book setting (2 sec travel time)." sqref="A53">
      <formula1>"PDDM,Green Book"</formula1>
    </dataValidation>
    <dataValidation allowBlank="1" showInputMessage="1" showErrorMessage="1" promptTitle="Maximum radius for spiral use" prompt="PDDM values shown with Green Book value in parenthesis" sqref="H54 N54 T54"/>
  </dataValidations>
  <pageMargins left="0.75" right="0.75" top="1" bottom="1" header="0.5" footer="0.5"/>
  <pageSetup orientation="portrait" r:id="rId1"/>
  <headerFooter alignWithMargins="0"/>
  <ignoredErrors>
    <ignoredError sqref="H54 T54 N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2"/>
  <sheetViews>
    <sheetView showGridLines="0" showRowColHeaders="0" workbookViewId="0">
      <selection activeCell="B17" sqref="B17"/>
    </sheetView>
  </sheetViews>
  <sheetFormatPr defaultRowHeight="12.75" x14ac:dyDescent="0.2"/>
  <cols>
    <col min="1" max="1" width="9.7109375" customWidth="1"/>
  </cols>
  <sheetData>
    <row r="1" spans="1:27" ht="13.5" thickBot="1" x14ac:dyDescent="0.25">
      <c r="A1" s="15" t="s">
        <v>47</v>
      </c>
      <c r="C1" s="4" t="s">
        <v>21</v>
      </c>
      <c r="D1" s="6">
        <f>eMax</f>
        <v>0.06</v>
      </c>
      <c r="G1" s="157" t="str">
        <f>HYPERLINK("#Table!A1","Superelevation Table")</f>
        <v>Superelevation Table</v>
      </c>
      <c r="H1" s="158"/>
      <c r="N1" s="16" t="s">
        <v>48</v>
      </c>
    </row>
    <row r="2" spans="1:27" ht="13.5" thickBot="1" x14ac:dyDescent="0.25">
      <c r="A2" s="5" t="s">
        <v>15</v>
      </c>
      <c r="B2" s="5" t="s">
        <v>1</v>
      </c>
      <c r="C2" s="5" t="s">
        <v>16</v>
      </c>
      <c r="D2" s="5" t="s">
        <v>2</v>
      </c>
      <c r="E2" s="5" t="s">
        <v>45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55</v>
      </c>
      <c r="N2" s="5" t="s">
        <v>22</v>
      </c>
      <c r="O2" s="5" t="s">
        <v>1</v>
      </c>
      <c r="P2" s="5" t="s">
        <v>23</v>
      </c>
      <c r="Q2" s="5" t="s">
        <v>2</v>
      </c>
      <c r="R2" s="5" t="s">
        <v>45</v>
      </c>
      <c r="S2" s="5" t="s">
        <v>3</v>
      </c>
      <c r="T2" s="5" t="s">
        <v>4</v>
      </c>
      <c r="U2" s="5" t="s">
        <v>5</v>
      </c>
      <c r="V2" s="5" t="s">
        <v>6</v>
      </c>
      <c r="W2" s="5" t="s">
        <v>7</v>
      </c>
      <c r="X2" s="5" t="s">
        <v>8</v>
      </c>
      <c r="Y2" s="5" t="s">
        <v>55</v>
      </c>
      <c r="Z2" s="5" t="s">
        <v>56</v>
      </c>
    </row>
    <row r="3" spans="1:27" x14ac:dyDescent="0.2">
      <c r="A3" s="40">
        <v>20</v>
      </c>
      <c r="B3" s="88">
        <v>0.35</v>
      </c>
      <c r="C3" s="31">
        <v>20</v>
      </c>
      <c r="D3" s="32">
        <v>8.0000000000000002E-3</v>
      </c>
      <c r="E3" s="31">
        <f t="shared" ref="E3:E14" si="0">MROUND(A3*Travel_time*1000/3600,VLOOKUP("round",Constants,2,0))</f>
        <v>13</v>
      </c>
      <c r="F3" s="31">
        <f t="shared" ref="F3:F14" si="1">MROUND(A3^2/(127*(eMax+B3)),10^(MAX(0,INT(LOG(A3^2/(127*(eMax+B3))))-2)))</f>
        <v>8</v>
      </c>
      <c r="G3" s="31">
        <f>C3^2/(127*eMax)</f>
        <v>52.493438320209975</v>
      </c>
      <c r="H3" s="31">
        <f>eMax*((A3/C3)^2-1)</f>
        <v>0</v>
      </c>
      <c r="I3" s="31">
        <f>H3*G3</f>
        <v>0</v>
      </c>
      <c r="J3" s="31">
        <f>(B3-H3)/(1/F3-1/G3)</f>
        <v>3.3034450212364321</v>
      </c>
      <c r="K3" s="31">
        <f>1/G3*(1/F3-1/G3)*(J3-I3)/2*F3</f>
        <v>2.6669999999999999E-2</v>
      </c>
      <c r="L3" s="33">
        <v>250</v>
      </c>
      <c r="N3" s="49">
        <v>15</v>
      </c>
      <c r="O3" s="91">
        <v>0.32</v>
      </c>
      <c r="P3" s="43">
        <f>N3</f>
        <v>15</v>
      </c>
      <c r="Q3" s="44">
        <v>7.7999999999999996E-3</v>
      </c>
      <c r="R3" s="43">
        <f t="shared" ref="R3:R16" si="2">MROUND(N3*Travel_time*5280/3600,VLOOKUP("round",Constants,3,0))</f>
        <v>50</v>
      </c>
      <c r="S3" s="43">
        <f t="shared" ref="S3:S16" si="3">MROUND(N3^2/(15*(eMax+O3)),10^MAX(0,INT(LOG(N3^2/(15*(eMax+O3))))-2))</f>
        <v>39</v>
      </c>
      <c r="T3" s="43">
        <f>P3^2/(15*eMax)</f>
        <v>250.00000000000003</v>
      </c>
      <c r="U3" s="43">
        <f>eMax*((N3/P3)^2-1)</f>
        <v>0</v>
      </c>
      <c r="V3" s="43">
        <f>U3*T3/DxR</f>
        <v>0</v>
      </c>
      <c r="W3" s="43">
        <f>(O3-U3)/(DxR*(1/S3-1/T3))</f>
        <v>2.5807712162183075E-3</v>
      </c>
      <c r="X3" s="43">
        <f>DxR/T3*(1/S3-1/T3)*(W3-V3)/2*S3</f>
        <v>2.4959999999999996E-2</v>
      </c>
      <c r="Y3" s="43">
        <v>1000</v>
      </c>
      <c r="Z3" s="105">
        <f t="shared" ref="Z3:Z16" si="4">DxR/(24*AA3)</f>
        <v>1145.915590262</v>
      </c>
      <c r="AA3" s="104">
        <v>0.20833333333333334</v>
      </c>
    </row>
    <row r="4" spans="1:27" x14ac:dyDescent="0.2">
      <c r="A4" s="41">
        <v>30</v>
      </c>
      <c r="B4" s="89">
        <v>0.28000000000000003</v>
      </c>
      <c r="C4" s="34">
        <v>30</v>
      </c>
      <c r="D4" s="35">
        <v>7.4999999999999997E-3</v>
      </c>
      <c r="E4" s="34">
        <f t="shared" si="0"/>
        <v>19</v>
      </c>
      <c r="F4" s="34">
        <f t="shared" si="1"/>
        <v>21</v>
      </c>
      <c r="G4" s="34">
        <f t="shared" ref="G4:G14" si="5">C4^2/(127*eMax)</f>
        <v>118.11023622047244</v>
      </c>
      <c r="H4" s="34">
        <f t="shared" ref="H4:H14" si="6">eMax*((A4/C4)^2-1)</f>
        <v>0</v>
      </c>
      <c r="I4" s="34">
        <f t="shared" ref="I4:I14" si="7">H4*G4</f>
        <v>0</v>
      </c>
      <c r="J4" s="34">
        <f t="shared" ref="J4:J14" si="8">(B4-H4)/(1/F4-1/G4)</f>
        <v>7.1515446363415238</v>
      </c>
      <c r="K4" s="34">
        <f t="shared" ref="K4:K14" si="9">1/G4*(1/F4-1/G4)*(J4-I4)/2*F4</f>
        <v>2.4892000000000001E-2</v>
      </c>
      <c r="L4" s="36">
        <v>500</v>
      </c>
      <c r="N4" s="50">
        <v>20</v>
      </c>
      <c r="O4" s="92">
        <v>0.27</v>
      </c>
      <c r="P4" s="45">
        <f>N4</f>
        <v>20</v>
      </c>
      <c r="Q4" s="46">
        <v>7.4000000000000003E-3</v>
      </c>
      <c r="R4" s="45">
        <f t="shared" si="2"/>
        <v>65</v>
      </c>
      <c r="S4" s="45">
        <f t="shared" si="3"/>
        <v>81</v>
      </c>
      <c r="T4" s="45">
        <f t="shared" ref="T4:T16" si="10">P4^2/(15*eMax)</f>
        <v>444.44444444444451</v>
      </c>
      <c r="U4" s="45">
        <f t="shared" ref="U4:U16" si="11">eMax*((N4/P4)^2-1)</f>
        <v>0</v>
      </c>
      <c r="V4" s="45">
        <f t="shared" ref="V4:V16" si="12">U4*T4/DxR</f>
        <v>0</v>
      </c>
      <c r="W4" s="45">
        <f t="shared" ref="W4:W16" si="13">(O4-U4)/(DxR*(1/S4-1/T4))</f>
        <v>4.6677286140145791E-3</v>
      </c>
      <c r="X4" s="45">
        <f t="shared" ref="X4:X16" si="14">DxR/T4*(1/S4-1/T4)*(W4-V4)/2*S4</f>
        <v>2.4603749999999994E-2</v>
      </c>
      <c r="Y4" s="45">
        <v>2000</v>
      </c>
      <c r="Z4" s="106">
        <f t="shared" si="4"/>
        <v>1909.8593171033333</v>
      </c>
      <c r="AA4" s="104">
        <v>0.125</v>
      </c>
    </row>
    <row r="5" spans="1:27" x14ac:dyDescent="0.2">
      <c r="A5" s="41">
        <v>40</v>
      </c>
      <c r="B5" s="89">
        <v>0.23</v>
      </c>
      <c r="C5" s="34">
        <v>40</v>
      </c>
      <c r="D5" s="35">
        <v>7.0000000000000001E-3</v>
      </c>
      <c r="E5" s="34">
        <f t="shared" si="0"/>
        <v>26</v>
      </c>
      <c r="F5" s="34">
        <f t="shared" si="1"/>
        <v>43</v>
      </c>
      <c r="G5" s="34">
        <f t="shared" si="5"/>
        <v>209.9737532808399</v>
      </c>
      <c r="H5" s="34">
        <f t="shared" si="6"/>
        <v>0</v>
      </c>
      <c r="I5" s="34">
        <f t="shared" si="7"/>
        <v>0</v>
      </c>
      <c r="J5" s="34">
        <f t="shared" si="8"/>
        <v>12.436927236430515</v>
      </c>
      <c r="K5" s="34">
        <f t="shared" si="9"/>
        <v>2.35505625E-2</v>
      </c>
      <c r="L5" s="36">
        <v>1000</v>
      </c>
      <c r="N5" s="50">
        <v>25</v>
      </c>
      <c r="O5" s="92">
        <v>0.23</v>
      </c>
      <c r="P5" s="45">
        <v>24</v>
      </c>
      <c r="Q5" s="46">
        <v>7.0000000000000001E-3</v>
      </c>
      <c r="R5" s="45">
        <f t="shared" si="2"/>
        <v>85</v>
      </c>
      <c r="S5" s="45">
        <f t="shared" si="3"/>
        <v>144</v>
      </c>
      <c r="T5" s="45">
        <f t="shared" si="10"/>
        <v>640.00000000000011</v>
      </c>
      <c r="U5" s="45">
        <f t="shared" si="11"/>
        <v>5.1041666666666787E-3</v>
      </c>
      <c r="V5" s="45">
        <f t="shared" si="12"/>
        <v>5.7014088898463993E-4</v>
      </c>
      <c r="W5" s="45">
        <f t="shared" si="13"/>
        <v>7.2932242355895393E-3</v>
      </c>
      <c r="X5" s="45">
        <f t="shared" si="14"/>
        <v>2.3322916666666658E-2</v>
      </c>
      <c r="Y5" s="45">
        <v>2500</v>
      </c>
      <c r="Z5" s="106">
        <f t="shared" si="4"/>
        <v>2864.7889756549998</v>
      </c>
      <c r="AA5" s="104">
        <v>8.3333333333333329E-2</v>
      </c>
    </row>
    <row r="6" spans="1:27" x14ac:dyDescent="0.2">
      <c r="A6" s="41">
        <v>50</v>
      </c>
      <c r="B6" s="89">
        <v>0.19</v>
      </c>
      <c r="C6" s="34">
        <v>47</v>
      </c>
      <c r="D6" s="35">
        <v>6.4999999999999997E-3</v>
      </c>
      <c r="E6" s="34">
        <f t="shared" si="0"/>
        <v>32</v>
      </c>
      <c r="F6" s="34">
        <f t="shared" si="1"/>
        <v>79</v>
      </c>
      <c r="G6" s="34">
        <f t="shared" si="5"/>
        <v>289.8950131233596</v>
      </c>
      <c r="H6" s="34">
        <f t="shared" si="6"/>
        <v>7.9040289723856863E-3</v>
      </c>
      <c r="I6" s="34">
        <f t="shared" si="7"/>
        <v>2.2913385826771631</v>
      </c>
      <c r="J6" s="34">
        <f t="shared" si="8"/>
        <v>19.774333860188424</v>
      </c>
      <c r="K6" s="34">
        <f t="shared" si="9"/>
        <v>2.1936668175645092E-2</v>
      </c>
      <c r="L6" s="36">
        <v>1500</v>
      </c>
      <c r="N6" s="50">
        <v>30</v>
      </c>
      <c r="O6" s="92">
        <v>0.2</v>
      </c>
      <c r="P6" s="45">
        <v>28</v>
      </c>
      <c r="Q6" s="46">
        <v>6.6E-3</v>
      </c>
      <c r="R6" s="45">
        <f t="shared" si="2"/>
        <v>100</v>
      </c>
      <c r="S6" s="45">
        <f t="shared" si="3"/>
        <v>231</v>
      </c>
      <c r="T6" s="45">
        <f t="shared" si="10"/>
        <v>871.1111111111112</v>
      </c>
      <c r="U6" s="45">
        <f t="shared" si="11"/>
        <v>8.877551020408157E-3</v>
      </c>
      <c r="V6" s="45">
        <f t="shared" si="12"/>
        <v>1.3497212882085309E-3</v>
      </c>
      <c r="W6" s="45">
        <f t="shared" si="13"/>
        <v>1.0486226560047071E-2</v>
      </c>
      <c r="X6" s="45">
        <f t="shared" si="14"/>
        <v>2.2079081632653059E-2</v>
      </c>
      <c r="Y6" s="45">
        <v>3500</v>
      </c>
      <c r="Z6" s="106">
        <f t="shared" si="4"/>
        <v>5729.5779513099997</v>
      </c>
      <c r="AA6" s="104">
        <v>4.1666666666666664E-2</v>
      </c>
    </row>
    <row r="7" spans="1:27" x14ac:dyDescent="0.2">
      <c r="A7" s="41">
        <v>60</v>
      </c>
      <c r="B7" s="89">
        <v>0.17</v>
      </c>
      <c r="C7" s="34">
        <v>55</v>
      </c>
      <c r="D7" s="35">
        <v>6.0000000000000001E-3</v>
      </c>
      <c r="E7" s="34">
        <f t="shared" si="0"/>
        <v>38</v>
      </c>
      <c r="F7" s="34">
        <f t="shared" si="1"/>
        <v>123</v>
      </c>
      <c r="G7" s="34">
        <f t="shared" si="5"/>
        <v>396.98162729658793</v>
      </c>
      <c r="H7" s="34">
        <f t="shared" si="6"/>
        <v>1.1404958677685938E-2</v>
      </c>
      <c r="I7" s="34">
        <f t="shared" si="7"/>
        <v>4.5275590551181057</v>
      </c>
      <c r="J7" s="34">
        <f t="shared" si="8"/>
        <v>28.264654602584613</v>
      </c>
      <c r="K7" s="34">
        <f t="shared" si="9"/>
        <v>2.0633752066115708E-2</v>
      </c>
      <c r="L7" s="36">
        <v>2000</v>
      </c>
      <c r="N7" s="50">
        <v>35</v>
      </c>
      <c r="O7" s="92">
        <v>0.18</v>
      </c>
      <c r="P7" s="45">
        <v>32</v>
      </c>
      <c r="Q7" s="46">
        <v>6.1999999999999998E-3</v>
      </c>
      <c r="R7" s="45">
        <f t="shared" si="2"/>
        <v>120</v>
      </c>
      <c r="S7" s="45">
        <f t="shared" si="3"/>
        <v>340</v>
      </c>
      <c r="T7" s="45">
        <f t="shared" si="10"/>
        <v>1137.7777777777778</v>
      </c>
      <c r="U7" s="45">
        <f t="shared" si="11"/>
        <v>1.1777343749999999E-2</v>
      </c>
      <c r="V7" s="45">
        <f t="shared" si="12"/>
        <v>2.3387411976716799E-3</v>
      </c>
      <c r="W7" s="45">
        <f t="shared" si="13"/>
        <v>1.4236927822071468E-2</v>
      </c>
      <c r="X7" s="45">
        <f t="shared" si="14"/>
        <v>2.1005859374999998E-2</v>
      </c>
      <c r="Y7" s="45">
        <v>5000</v>
      </c>
      <c r="Z7" s="106">
        <f t="shared" si="4"/>
        <v>5729.5779513099997</v>
      </c>
      <c r="AA7" s="104">
        <v>4.1666666666666664E-2</v>
      </c>
    </row>
    <row r="8" spans="1:27" x14ac:dyDescent="0.2">
      <c r="A8" s="41">
        <v>70</v>
      </c>
      <c r="B8" s="89">
        <v>0.15</v>
      </c>
      <c r="C8" s="34">
        <v>63</v>
      </c>
      <c r="D8" s="35">
        <v>5.4999999999999997E-3</v>
      </c>
      <c r="E8" s="34">
        <f t="shared" si="0"/>
        <v>45</v>
      </c>
      <c r="F8" s="34">
        <f t="shared" si="1"/>
        <v>184</v>
      </c>
      <c r="G8" s="34">
        <f t="shared" si="5"/>
        <v>520.8661417322835</v>
      </c>
      <c r="H8" s="34">
        <f t="shared" si="6"/>
        <v>1.4074074074074083E-2</v>
      </c>
      <c r="I8" s="34">
        <f t="shared" si="7"/>
        <v>7.3307086614173276</v>
      </c>
      <c r="J8" s="34">
        <f t="shared" si="8"/>
        <v>38.671310364171845</v>
      </c>
      <c r="K8" s="34">
        <f t="shared" si="9"/>
        <v>1.9457294028722597E-2</v>
      </c>
      <c r="L8" s="36">
        <v>2500</v>
      </c>
      <c r="N8" s="50">
        <v>40</v>
      </c>
      <c r="O8" s="92">
        <v>0.16</v>
      </c>
      <c r="P8" s="45">
        <v>36</v>
      </c>
      <c r="Q8" s="46">
        <v>5.7999999999999996E-3</v>
      </c>
      <c r="R8" s="45">
        <f t="shared" si="2"/>
        <v>135</v>
      </c>
      <c r="S8" s="45">
        <f t="shared" si="3"/>
        <v>485</v>
      </c>
      <c r="T8" s="45">
        <f t="shared" si="10"/>
        <v>1440.0000000000002</v>
      </c>
      <c r="U8" s="45">
        <f t="shared" si="11"/>
        <v>1.4074074074074083E-2</v>
      </c>
      <c r="V8" s="45">
        <f t="shared" si="12"/>
        <v>3.5372006173740862E-3</v>
      </c>
      <c r="W8" s="45">
        <f t="shared" si="13"/>
        <v>1.8625617690107839E-2</v>
      </c>
      <c r="X8" s="45">
        <f t="shared" si="14"/>
        <v>1.9907407407407398E-2</v>
      </c>
      <c r="Y8" s="45">
        <v>6000</v>
      </c>
      <c r="Z8" s="106">
        <f t="shared" si="4"/>
        <v>5729.5779513099997</v>
      </c>
      <c r="AA8" s="104">
        <v>4.1666666666666664E-2</v>
      </c>
    </row>
    <row r="9" spans="1:27" x14ac:dyDescent="0.2">
      <c r="A9" s="41">
        <v>80</v>
      </c>
      <c r="B9" s="89">
        <v>0.14000000000000001</v>
      </c>
      <c r="C9" s="34">
        <v>70</v>
      </c>
      <c r="D9" s="35">
        <v>5.0000000000000001E-3</v>
      </c>
      <c r="E9" s="34">
        <f t="shared" si="0"/>
        <v>51</v>
      </c>
      <c r="F9" s="34">
        <f t="shared" si="1"/>
        <v>252</v>
      </c>
      <c r="G9" s="34">
        <f t="shared" si="5"/>
        <v>643.04461942257217</v>
      </c>
      <c r="H9" s="34">
        <f t="shared" si="6"/>
        <v>1.8367346938775505E-2</v>
      </c>
      <c r="I9" s="34">
        <f t="shared" si="7"/>
        <v>11.811023622047241</v>
      </c>
      <c r="J9" s="34">
        <f t="shared" si="8"/>
        <v>50.40405938733322</v>
      </c>
      <c r="K9" s="34">
        <f t="shared" si="9"/>
        <v>1.8248326530612247E-2</v>
      </c>
      <c r="L9" s="36">
        <v>3000</v>
      </c>
      <c r="N9" s="50">
        <v>45</v>
      </c>
      <c r="O9" s="92">
        <v>0.15</v>
      </c>
      <c r="P9" s="45">
        <v>40</v>
      </c>
      <c r="Q9" s="46">
        <v>5.4000000000000003E-3</v>
      </c>
      <c r="R9" s="45">
        <f t="shared" si="2"/>
        <v>150</v>
      </c>
      <c r="S9" s="45">
        <f t="shared" si="3"/>
        <v>643</v>
      </c>
      <c r="T9" s="45">
        <f t="shared" si="10"/>
        <v>1777.7777777777781</v>
      </c>
      <c r="U9" s="45">
        <f t="shared" si="11"/>
        <v>1.59375E-2</v>
      </c>
      <c r="V9" s="45">
        <f t="shared" si="12"/>
        <v>4.9450995473157427E-3</v>
      </c>
      <c r="W9" s="45">
        <f t="shared" si="13"/>
        <v>2.3570147761418359E-2</v>
      </c>
      <c r="X9" s="45">
        <f t="shared" si="14"/>
        <v>1.9157812499999999E-2</v>
      </c>
      <c r="Y9" s="45">
        <v>8000</v>
      </c>
      <c r="Z9" s="106">
        <f t="shared" si="4"/>
        <v>11459.155902619999</v>
      </c>
      <c r="AA9" s="104">
        <v>2.0833333333333332E-2</v>
      </c>
    </row>
    <row r="10" spans="1:27" x14ac:dyDescent="0.2">
      <c r="A10" s="41">
        <v>90</v>
      </c>
      <c r="B10" s="89">
        <v>0.13</v>
      </c>
      <c r="C10" s="34">
        <v>77</v>
      </c>
      <c r="D10" s="35">
        <v>4.7000000000000002E-3</v>
      </c>
      <c r="E10" s="34">
        <f t="shared" si="0"/>
        <v>57</v>
      </c>
      <c r="F10" s="34">
        <f t="shared" si="1"/>
        <v>336</v>
      </c>
      <c r="G10" s="34">
        <f t="shared" si="5"/>
        <v>778.08398950131232</v>
      </c>
      <c r="H10" s="34">
        <f t="shared" si="6"/>
        <v>2.1969978073874168E-2</v>
      </c>
      <c r="I10" s="34">
        <f t="shared" si="7"/>
        <v>17.094488188976371</v>
      </c>
      <c r="J10" s="34">
        <f t="shared" si="8"/>
        <v>63.885961266727634</v>
      </c>
      <c r="K10" s="34">
        <f t="shared" si="9"/>
        <v>1.7083960195648513E-2</v>
      </c>
      <c r="L10" s="36">
        <v>3500</v>
      </c>
      <c r="N10" s="50">
        <v>50</v>
      </c>
      <c r="O10" s="92">
        <v>0.14000000000000001</v>
      </c>
      <c r="P10" s="45">
        <v>44</v>
      </c>
      <c r="Q10" s="46">
        <v>5.0000000000000001E-3</v>
      </c>
      <c r="R10" s="45">
        <f t="shared" si="2"/>
        <v>170</v>
      </c>
      <c r="S10" s="45">
        <f t="shared" si="3"/>
        <v>833</v>
      </c>
      <c r="T10" s="45">
        <f t="shared" si="10"/>
        <v>2151.1111111111113</v>
      </c>
      <c r="U10" s="45">
        <f t="shared" si="11"/>
        <v>1.7479338842975225E-2</v>
      </c>
      <c r="V10" s="45">
        <f t="shared" si="12"/>
        <v>6.5624379874966625E-3</v>
      </c>
      <c r="W10" s="45">
        <f t="shared" si="13"/>
        <v>2.9069832092324738E-2</v>
      </c>
      <c r="X10" s="45">
        <f t="shared" si="14"/>
        <v>1.8367252066115693E-2</v>
      </c>
      <c r="Y10" s="45">
        <v>10000</v>
      </c>
      <c r="Z10" s="106">
        <f t="shared" si="4"/>
        <v>11459.155902619999</v>
      </c>
      <c r="AA10" s="104">
        <v>2.0833333333333332E-2</v>
      </c>
    </row>
    <row r="11" spans="1:27" x14ac:dyDescent="0.2">
      <c r="A11" s="41">
        <v>100</v>
      </c>
      <c r="B11" s="89">
        <v>0.12</v>
      </c>
      <c r="C11" s="34">
        <v>85</v>
      </c>
      <c r="D11" s="35">
        <v>4.4000000000000003E-3</v>
      </c>
      <c r="E11" s="34">
        <f t="shared" si="0"/>
        <v>64</v>
      </c>
      <c r="F11" s="34">
        <f t="shared" si="1"/>
        <v>437</v>
      </c>
      <c r="G11" s="34">
        <f t="shared" si="5"/>
        <v>948.16272965879261</v>
      </c>
      <c r="H11" s="34">
        <f t="shared" si="6"/>
        <v>2.3044982698961942E-2</v>
      </c>
      <c r="I11" s="34">
        <f t="shared" si="7"/>
        <v>21.850393700787404</v>
      </c>
      <c r="J11" s="34">
        <f t="shared" si="8"/>
        <v>78.591472275138244</v>
      </c>
      <c r="K11" s="34">
        <f t="shared" si="9"/>
        <v>1.6130989619377159E-2</v>
      </c>
      <c r="L11" s="36">
        <v>4000</v>
      </c>
      <c r="N11" s="50">
        <v>55</v>
      </c>
      <c r="O11" s="92">
        <v>0.13</v>
      </c>
      <c r="P11" s="45">
        <v>48</v>
      </c>
      <c r="Q11" s="46">
        <v>4.7000000000000002E-3</v>
      </c>
      <c r="R11" s="45">
        <f t="shared" si="2"/>
        <v>185</v>
      </c>
      <c r="S11" s="45">
        <f t="shared" si="3"/>
        <v>1060</v>
      </c>
      <c r="T11" s="45">
        <f t="shared" si="10"/>
        <v>2560.0000000000005</v>
      </c>
      <c r="U11" s="45">
        <f t="shared" si="11"/>
        <v>1.877604166666666E-2</v>
      </c>
      <c r="V11" s="45">
        <f t="shared" si="12"/>
        <v>8.3892159379168208E-3</v>
      </c>
      <c r="W11" s="45">
        <f t="shared" si="13"/>
        <v>3.511804137502849E-2</v>
      </c>
      <c r="X11" s="45">
        <f t="shared" si="14"/>
        <v>1.7526041666666669E-2</v>
      </c>
      <c r="Y11" s="45">
        <v>10000</v>
      </c>
      <c r="Z11" s="106">
        <f t="shared" si="4"/>
        <v>11459.155902619999</v>
      </c>
      <c r="AA11" s="104">
        <v>2.0833333333333332E-2</v>
      </c>
    </row>
    <row r="12" spans="1:27" x14ac:dyDescent="0.2">
      <c r="A12" s="41">
        <v>110</v>
      </c>
      <c r="B12" s="89">
        <v>0.11</v>
      </c>
      <c r="C12" s="34">
        <v>91</v>
      </c>
      <c r="D12" s="35">
        <v>4.1000000000000003E-3</v>
      </c>
      <c r="E12" s="34">
        <f t="shared" si="0"/>
        <v>70</v>
      </c>
      <c r="F12" s="34">
        <f t="shared" si="1"/>
        <v>560</v>
      </c>
      <c r="G12" s="34">
        <f t="shared" si="5"/>
        <v>1086.745406824147</v>
      </c>
      <c r="H12" s="34">
        <f t="shared" si="6"/>
        <v>2.7670571187054696E-2</v>
      </c>
      <c r="I12" s="34">
        <f t="shared" si="7"/>
        <v>30.070866141732278</v>
      </c>
      <c r="J12" s="34">
        <f t="shared" si="8"/>
        <v>95.119637251482388</v>
      </c>
      <c r="K12" s="34">
        <f t="shared" si="9"/>
        <v>1.4506219055669607E-2</v>
      </c>
      <c r="L12" s="36">
        <v>5000</v>
      </c>
      <c r="N12" s="50">
        <v>60</v>
      </c>
      <c r="O12" s="92">
        <v>0.12</v>
      </c>
      <c r="P12" s="45">
        <v>52</v>
      </c>
      <c r="Q12" s="46">
        <v>4.4999999999999997E-3</v>
      </c>
      <c r="R12" s="45">
        <f t="shared" si="2"/>
        <v>200</v>
      </c>
      <c r="S12" s="45">
        <f t="shared" si="3"/>
        <v>1330</v>
      </c>
      <c r="T12" s="45">
        <f t="shared" si="10"/>
        <v>3004.4444444444448</v>
      </c>
      <c r="U12" s="45">
        <f t="shared" si="11"/>
        <v>1.9881656804733708E-2</v>
      </c>
      <c r="V12" s="45">
        <f t="shared" si="12"/>
        <v>1.0425433398576236E-2</v>
      </c>
      <c r="W12" s="45">
        <f t="shared" si="13"/>
        <v>4.1700004093077607E-2</v>
      </c>
      <c r="X12" s="45">
        <f t="shared" si="14"/>
        <v>1.6619822485207107E-2</v>
      </c>
      <c r="Y12" s="45">
        <v>12500</v>
      </c>
      <c r="Z12" s="106">
        <f t="shared" si="4"/>
        <v>22918.311805239999</v>
      </c>
      <c r="AA12" s="104">
        <v>1.0416666666666666E-2</v>
      </c>
    </row>
    <row r="13" spans="1:27" x14ac:dyDescent="0.2">
      <c r="A13" s="41">
        <v>120</v>
      </c>
      <c r="B13" s="89">
        <v>0.09</v>
      </c>
      <c r="C13" s="34">
        <v>98</v>
      </c>
      <c r="D13" s="35">
        <v>3.8E-3</v>
      </c>
      <c r="E13" s="34">
        <f t="shared" si="0"/>
        <v>77</v>
      </c>
      <c r="F13" s="34">
        <f t="shared" si="1"/>
        <v>756</v>
      </c>
      <c r="G13" s="34">
        <f t="shared" si="5"/>
        <v>1260.3674540682414</v>
      </c>
      <c r="H13" s="34">
        <f t="shared" si="6"/>
        <v>2.9962515618492294E-2</v>
      </c>
      <c r="I13" s="34">
        <f t="shared" si="7"/>
        <v>37.763779527559052</v>
      </c>
      <c r="J13" s="34">
        <f t="shared" si="8"/>
        <v>113.42124435378118</v>
      </c>
      <c r="K13" s="34">
        <f t="shared" si="9"/>
        <v>1.2010870470637237E-2</v>
      </c>
      <c r="L13" s="36">
        <v>6000</v>
      </c>
      <c r="N13" s="50">
        <v>65</v>
      </c>
      <c r="O13" s="92">
        <v>0.11</v>
      </c>
      <c r="P13" s="45">
        <v>55</v>
      </c>
      <c r="Q13" s="46">
        <v>4.3E-3</v>
      </c>
      <c r="R13" s="45">
        <f t="shared" si="2"/>
        <v>220</v>
      </c>
      <c r="S13" s="45">
        <f t="shared" si="3"/>
        <v>1660</v>
      </c>
      <c r="T13" s="45">
        <f t="shared" si="10"/>
        <v>3361.1111111111113</v>
      </c>
      <c r="U13" s="45">
        <f t="shared" si="11"/>
        <v>2.3801652892561996E-2</v>
      </c>
      <c r="V13" s="45">
        <f t="shared" si="12"/>
        <v>1.3962634015950336E-2</v>
      </c>
      <c r="W13" s="45">
        <f t="shared" si="13"/>
        <v>4.9344026131891067E-2</v>
      </c>
      <c r="X13" s="45">
        <f t="shared" si="14"/>
        <v>1.5262809917355362E-2</v>
      </c>
      <c r="Y13" s="45">
        <v>15000</v>
      </c>
      <c r="Z13" s="106">
        <f t="shared" si="4"/>
        <v>22918.311805239999</v>
      </c>
      <c r="AA13" s="104">
        <v>1.0416666666666666E-2</v>
      </c>
    </row>
    <row r="14" spans="1:27" ht="13.5" thickBot="1" x14ac:dyDescent="0.25">
      <c r="A14" s="42">
        <v>130</v>
      </c>
      <c r="B14" s="90">
        <v>0.08</v>
      </c>
      <c r="C14" s="37">
        <v>102</v>
      </c>
      <c r="D14" s="38">
        <v>3.5000000000000001E-3</v>
      </c>
      <c r="E14" s="37">
        <f t="shared" si="0"/>
        <v>83</v>
      </c>
      <c r="F14" s="37">
        <f t="shared" si="1"/>
        <v>951</v>
      </c>
      <c r="G14" s="37">
        <f t="shared" si="5"/>
        <v>1365.3543307086613</v>
      </c>
      <c r="H14" s="37">
        <f t="shared" si="6"/>
        <v>3.7462514417531706E-2</v>
      </c>
      <c r="I14" s="37">
        <f t="shared" si="7"/>
        <v>51.149606299212579</v>
      </c>
      <c r="J14" s="37">
        <f t="shared" si="8"/>
        <v>133.29867168348449</v>
      </c>
      <c r="K14" s="37">
        <f t="shared" si="9"/>
        <v>9.129642445213389E-3</v>
      </c>
      <c r="L14" s="39">
        <v>6000</v>
      </c>
      <c r="N14" s="50">
        <v>70</v>
      </c>
      <c r="O14" s="92">
        <v>0.1</v>
      </c>
      <c r="P14" s="45">
        <v>58</v>
      </c>
      <c r="Q14" s="46">
        <v>4.0000000000000001E-3</v>
      </c>
      <c r="R14" s="45">
        <f t="shared" si="2"/>
        <v>235</v>
      </c>
      <c r="S14" s="45">
        <f t="shared" si="3"/>
        <v>2040</v>
      </c>
      <c r="T14" s="45">
        <f t="shared" si="10"/>
        <v>3737.7777777777783</v>
      </c>
      <c r="U14" s="45">
        <f t="shared" si="11"/>
        <v>2.7395957193816874E-2</v>
      </c>
      <c r="V14" s="45">
        <f t="shared" si="12"/>
        <v>1.7872171540416416E-2</v>
      </c>
      <c r="W14" s="45">
        <f t="shared" si="13"/>
        <v>5.6911623146217657E-2</v>
      </c>
      <c r="X14" s="45">
        <f t="shared" si="14"/>
        <v>1.3590963139120098E-2</v>
      </c>
      <c r="Y14" s="45">
        <v>15000</v>
      </c>
      <c r="Z14" s="106">
        <f t="shared" si="4"/>
        <v>22918.311805239999</v>
      </c>
      <c r="AA14" s="104">
        <v>1.0416666666666666E-2</v>
      </c>
    </row>
    <row r="15" spans="1:27" x14ac:dyDescent="0.2">
      <c r="N15" s="50">
        <v>75</v>
      </c>
      <c r="O15" s="92">
        <v>0.09</v>
      </c>
      <c r="P15" s="45">
        <v>61</v>
      </c>
      <c r="Q15" s="46">
        <v>3.8E-3</v>
      </c>
      <c r="R15" s="45">
        <f t="shared" si="2"/>
        <v>255</v>
      </c>
      <c r="S15" s="45">
        <f t="shared" si="3"/>
        <v>2500</v>
      </c>
      <c r="T15" s="45">
        <f t="shared" si="10"/>
        <v>4134.4444444444453</v>
      </c>
      <c r="U15" s="45">
        <f t="shared" si="11"/>
        <v>3.0701424348293472E-2</v>
      </c>
      <c r="V15" s="45">
        <f t="shared" si="12"/>
        <v>2.2154045971974529E-2</v>
      </c>
      <c r="W15" s="45">
        <f t="shared" si="13"/>
        <v>6.5449846949767132E-2</v>
      </c>
      <c r="X15" s="45">
        <f t="shared" si="14"/>
        <v>1.1859715130341298E-2</v>
      </c>
      <c r="Y15" s="45">
        <v>17500</v>
      </c>
      <c r="Z15" s="106">
        <f t="shared" si="4"/>
        <v>22918.311805239999</v>
      </c>
      <c r="AA15" s="104">
        <v>1.0416666666666666E-2</v>
      </c>
    </row>
    <row r="16" spans="1:27" ht="13.5" thickBot="1" x14ac:dyDescent="0.25">
      <c r="E16" s="147">
        <f>IF(_travel_time="PDDM",2.3,2)</f>
        <v>2.2999999999999998</v>
      </c>
      <c r="F16" t="s">
        <v>73</v>
      </c>
      <c r="N16" s="51">
        <v>80</v>
      </c>
      <c r="O16" s="93">
        <v>0.08</v>
      </c>
      <c r="P16" s="47">
        <v>64</v>
      </c>
      <c r="Q16" s="48">
        <v>3.5000000000000001E-3</v>
      </c>
      <c r="R16" s="47">
        <f t="shared" si="2"/>
        <v>270</v>
      </c>
      <c r="S16" s="47">
        <f t="shared" si="3"/>
        <v>3050</v>
      </c>
      <c r="T16" s="47">
        <f t="shared" si="10"/>
        <v>4551.1111111111113</v>
      </c>
      <c r="U16" s="47">
        <f t="shared" si="11"/>
        <v>3.3750000000000002E-2</v>
      </c>
      <c r="V16" s="47">
        <f t="shared" si="12"/>
        <v>2.6808257310624636E-2</v>
      </c>
      <c r="W16" s="47">
        <f t="shared" si="13"/>
        <v>7.4643766037601506E-2</v>
      </c>
      <c r="X16" s="47">
        <f t="shared" si="14"/>
        <v>9.9316406249999982E-3</v>
      </c>
      <c r="Y16" s="47">
        <v>20000</v>
      </c>
      <c r="Z16" s="107">
        <f t="shared" si="4"/>
        <v>22918.311805239999</v>
      </c>
      <c r="AA16" s="104">
        <v>1.0416666666666666E-2</v>
      </c>
    </row>
    <row r="17" spans="2:26" x14ac:dyDescent="0.2">
      <c r="B17" s="132" t="s">
        <v>61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</row>
    <row r="18" spans="2:26" x14ac:dyDescent="0.2">
      <c r="B18" s="133" t="s">
        <v>36</v>
      </c>
      <c r="C18" s="134"/>
      <c r="D18" s="134"/>
      <c r="E18" s="134"/>
      <c r="F18" s="134"/>
      <c r="G18" s="133" t="s">
        <v>66</v>
      </c>
      <c r="H18" s="134"/>
      <c r="I18" s="134"/>
      <c r="J18" s="134"/>
      <c r="K18" s="134"/>
      <c r="L18" s="134"/>
    </row>
    <row r="19" spans="2:26" ht="13.5" thickBot="1" x14ac:dyDescent="0.25">
      <c r="B19" s="135" t="s">
        <v>46</v>
      </c>
      <c r="C19" s="134" t="str">
        <f>"V x ("&amp;Travel_time&amp;" sec)"</f>
        <v>V x (2.3 sec)</v>
      </c>
      <c r="D19" s="134"/>
      <c r="E19" s="134"/>
      <c r="F19" s="134"/>
      <c r="G19" s="135"/>
      <c r="H19" s="134"/>
      <c r="I19" s="134"/>
      <c r="J19" s="134"/>
      <c r="K19" s="3" t="s">
        <v>89</v>
      </c>
      <c r="L19" s="134"/>
      <c r="S19" s="18" t="s">
        <v>28</v>
      </c>
      <c r="V19" s="122" t="s">
        <v>59</v>
      </c>
      <c r="Y19" s="123" t="s">
        <v>60</v>
      </c>
    </row>
    <row r="20" spans="2:26" ht="16.5" thickBot="1" x14ac:dyDescent="0.35">
      <c r="B20" s="135" t="s">
        <v>9</v>
      </c>
      <c r="C20" s="134" t="s">
        <v>62</v>
      </c>
      <c r="D20" s="134"/>
      <c r="E20" s="134"/>
      <c r="F20" s="134"/>
      <c r="G20" s="135" t="str">
        <f>B20</f>
        <v xml:space="preserve">Rmin = </v>
      </c>
      <c r="H20" s="134" t="str">
        <f>SUBSTITUTE(C20,"127","15")</f>
        <v>V^2 / [15 * (eMax + f)]</v>
      </c>
      <c r="I20" s="134"/>
      <c r="J20" s="134"/>
      <c r="K20" s="3" t="s">
        <v>79</v>
      </c>
      <c r="L20" s="134"/>
      <c r="N20" s="28" t="s">
        <v>37</v>
      </c>
      <c r="O20" s="17" t="s">
        <v>36</v>
      </c>
      <c r="P20" s="22" t="s">
        <v>39</v>
      </c>
      <c r="Q20" s="13"/>
      <c r="S20" t="s">
        <v>26</v>
      </c>
      <c r="T20" t="s">
        <v>27</v>
      </c>
      <c r="V20" s="116">
        <v>6</v>
      </c>
      <c r="W20" s="117">
        <v>5</v>
      </c>
      <c r="Y20" s="124">
        <v>6.9444444444444447E-4</v>
      </c>
      <c r="Z20" s="125">
        <v>1.0416666666666666E-2</v>
      </c>
    </row>
    <row r="21" spans="2:26" x14ac:dyDescent="0.2">
      <c r="B21" s="135" t="s">
        <v>10</v>
      </c>
      <c r="C21" s="134" t="s">
        <v>63</v>
      </c>
      <c r="D21" s="134"/>
      <c r="E21" s="134"/>
      <c r="F21" s="134"/>
      <c r="G21" s="135" t="str">
        <f>B21</f>
        <v xml:space="preserve">Rpi = </v>
      </c>
      <c r="H21" s="134" t="str">
        <f>SUBSTITUTE(C21,"127","15")</f>
        <v>Vr^2 / (15 * eMax)</v>
      </c>
      <c r="I21" s="134"/>
      <c r="J21" s="134"/>
      <c r="K21" s="3" t="s">
        <v>80</v>
      </c>
      <c r="L21" s="134"/>
      <c r="N21" s="24" t="s">
        <v>17</v>
      </c>
      <c r="O21" s="25">
        <v>0.2</v>
      </c>
      <c r="P21" s="26">
        <v>0.66</v>
      </c>
      <c r="S21" s="7">
        <v>1</v>
      </c>
      <c r="T21" s="8">
        <v>1</v>
      </c>
      <c r="V21" s="118">
        <v>81</v>
      </c>
      <c r="W21" s="119">
        <v>10</v>
      </c>
      <c r="Y21" s="126">
        <v>0.19791666666666666</v>
      </c>
      <c r="Z21" s="127">
        <v>2.0833333333333332E-2</v>
      </c>
    </row>
    <row r="22" spans="2:26" x14ac:dyDescent="0.2">
      <c r="B22" s="135" t="s">
        <v>11</v>
      </c>
      <c r="C22" s="134" t="s">
        <v>64</v>
      </c>
      <c r="D22" s="134"/>
      <c r="E22" s="134"/>
      <c r="F22" s="134"/>
      <c r="G22" s="135"/>
      <c r="H22" s="136"/>
      <c r="I22" s="134"/>
      <c r="J22" s="134"/>
      <c r="K22" s="3" t="s">
        <v>81</v>
      </c>
      <c r="L22" s="134"/>
      <c r="N22" s="24" t="s">
        <v>18</v>
      </c>
      <c r="O22" s="25">
        <v>1.2</v>
      </c>
      <c r="P22" s="26">
        <v>4</v>
      </c>
      <c r="S22" s="9">
        <v>1.5</v>
      </c>
      <c r="T22" s="10">
        <v>1.25</v>
      </c>
      <c r="V22" s="118">
        <v>151</v>
      </c>
      <c r="W22" s="119">
        <v>25</v>
      </c>
      <c r="Y22" s="126">
        <v>0.39583333333333331</v>
      </c>
      <c r="Z22" s="127">
        <v>4.1666666666666664E-2</v>
      </c>
    </row>
    <row r="23" spans="2:26" x14ac:dyDescent="0.2">
      <c r="B23" s="135" t="s">
        <v>12</v>
      </c>
      <c r="C23" s="134" t="s">
        <v>65</v>
      </c>
      <c r="D23" s="134"/>
      <c r="E23" s="134"/>
      <c r="F23" s="134"/>
      <c r="G23" s="135"/>
      <c r="H23" s="134"/>
      <c r="I23" s="134"/>
      <c r="J23" s="134"/>
      <c r="K23" s="3" t="s">
        <v>20</v>
      </c>
      <c r="L23" s="134"/>
      <c r="N23" s="24" t="s">
        <v>19</v>
      </c>
      <c r="O23" s="25">
        <v>1</v>
      </c>
      <c r="P23" s="26">
        <v>3.3</v>
      </c>
      <c r="S23" s="9">
        <v>2</v>
      </c>
      <c r="T23" s="10">
        <v>1.5</v>
      </c>
      <c r="V23" s="118">
        <v>251</v>
      </c>
      <c r="W23" s="119">
        <v>50</v>
      </c>
      <c r="Y23" s="126">
        <v>0.79166666666666663</v>
      </c>
      <c r="Z23" s="127">
        <v>8.3333333333333329E-2</v>
      </c>
    </row>
    <row r="24" spans="2:26" x14ac:dyDescent="0.2">
      <c r="B24" s="135" t="s">
        <v>13</v>
      </c>
      <c r="C24" s="134" t="s">
        <v>68</v>
      </c>
      <c r="D24" s="134"/>
      <c r="E24" s="134"/>
      <c r="F24" s="134"/>
      <c r="G24" s="135"/>
      <c r="H24" s="134"/>
      <c r="I24" s="134"/>
      <c r="J24" s="134"/>
      <c r="K24" s="3" t="s">
        <v>24</v>
      </c>
      <c r="L24" s="134"/>
      <c r="N24" s="24" t="s">
        <v>42</v>
      </c>
      <c r="O24" s="25">
        <v>1</v>
      </c>
      <c r="P24" s="26">
        <v>5</v>
      </c>
      <c r="S24" s="9">
        <v>2.5</v>
      </c>
      <c r="T24" s="10">
        <v>1.75</v>
      </c>
      <c r="V24" s="118">
        <v>501</v>
      </c>
      <c r="W24" s="119">
        <v>100</v>
      </c>
      <c r="Y24" s="126">
        <v>1.125</v>
      </c>
      <c r="Z24" s="127">
        <v>0.16666666666666666</v>
      </c>
    </row>
    <row r="25" spans="2:26" x14ac:dyDescent="0.2">
      <c r="B25" s="135" t="s">
        <v>14</v>
      </c>
      <c r="C25" s="134" t="s">
        <v>69</v>
      </c>
      <c r="D25" s="134"/>
      <c r="E25" s="134"/>
      <c r="F25" s="134"/>
      <c r="G25" s="135"/>
      <c r="H25" s="136"/>
      <c r="I25" s="134"/>
      <c r="J25" s="134"/>
      <c r="K25" s="3" t="s">
        <v>25</v>
      </c>
      <c r="L25" s="134"/>
      <c r="N25" s="24" t="s">
        <v>43</v>
      </c>
      <c r="O25" s="25">
        <v>2.1399999999999999E-2</v>
      </c>
      <c r="P25" s="26">
        <v>3.15</v>
      </c>
      <c r="S25" s="9">
        <v>3</v>
      </c>
      <c r="T25" s="10">
        <v>2</v>
      </c>
      <c r="V25" s="118">
        <v>1001</v>
      </c>
      <c r="W25" s="119">
        <v>250</v>
      </c>
      <c r="Y25" s="126">
        <v>1.6666666666666667</v>
      </c>
      <c r="Z25" s="127">
        <v>0.33333333333333331</v>
      </c>
    </row>
    <row r="26" spans="2:26" ht="16.5" thickBot="1" x14ac:dyDescent="0.35">
      <c r="B26" s="135" t="s">
        <v>87</v>
      </c>
      <c r="C26" s="134" t="s">
        <v>70</v>
      </c>
      <c r="D26" s="134"/>
      <c r="E26" s="134"/>
      <c r="F26" s="134"/>
      <c r="G26" s="134"/>
      <c r="H26" s="134"/>
      <c r="I26" s="134"/>
      <c r="J26" s="134"/>
      <c r="K26" s="3" t="s">
        <v>72</v>
      </c>
      <c r="L26" s="134"/>
      <c r="N26" s="24" t="s">
        <v>54</v>
      </c>
      <c r="O26" s="25">
        <v>0.7</v>
      </c>
      <c r="P26" s="26">
        <v>2.2999999999999998</v>
      </c>
      <c r="Q26" t="s">
        <v>74</v>
      </c>
      <c r="S26" s="11">
        <v>3.5</v>
      </c>
      <c r="T26" s="12">
        <v>2.25</v>
      </c>
      <c r="V26" s="118">
        <v>2001</v>
      </c>
      <c r="W26" s="119">
        <v>500</v>
      </c>
      <c r="Y26" s="126">
        <v>4.333333333333333</v>
      </c>
      <c r="Z26" s="127">
        <v>0.41666666666666669</v>
      </c>
    </row>
    <row r="27" spans="2:26" ht="16.5" thickBot="1" x14ac:dyDescent="0.35">
      <c r="B27" s="135" t="s">
        <v>67</v>
      </c>
      <c r="C27" s="134" t="s">
        <v>84</v>
      </c>
      <c r="D27" s="134"/>
      <c r="E27" s="134"/>
      <c r="F27" s="134"/>
      <c r="G27" s="134"/>
      <c r="H27" s="134"/>
      <c r="I27" s="134"/>
      <c r="J27" s="134"/>
      <c r="K27" s="3" t="s">
        <v>85</v>
      </c>
      <c r="L27" s="134"/>
      <c r="N27" s="24" t="s">
        <v>40</v>
      </c>
      <c r="O27" s="25">
        <v>1</v>
      </c>
      <c r="P27" s="27">
        <v>5729.5779513099997</v>
      </c>
      <c r="V27" s="118">
        <v>4001</v>
      </c>
      <c r="W27" s="119">
        <v>1000</v>
      </c>
      <c r="Y27" s="128">
        <v>5.5</v>
      </c>
      <c r="Z27" s="129">
        <v>1.0833333333333333</v>
      </c>
    </row>
    <row r="28" spans="2:26" ht="15.75" x14ac:dyDescent="0.3">
      <c r="B28" s="135" t="s">
        <v>88</v>
      </c>
      <c r="C28" s="134" t="s">
        <v>71</v>
      </c>
      <c r="D28" s="134"/>
      <c r="E28" s="134"/>
      <c r="F28" s="134"/>
      <c r="G28" s="134"/>
      <c r="H28" s="134"/>
      <c r="I28" s="134"/>
      <c r="J28" s="134"/>
      <c r="K28" s="3" t="s">
        <v>82</v>
      </c>
      <c r="L28" s="134"/>
      <c r="V28" s="118">
        <v>6001</v>
      </c>
      <c r="W28" s="119">
        <v>2000</v>
      </c>
    </row>
    <row r="29" spans="2:26" ht="16.5" thickBot="1" x14ac:dyDescent="0.35">
      <c r="B29" s="135" t="s">
        <v>67</v>
      </c>
      <c r="C29" s="134" t="s">
        <v>83</v>
      </c>
      <c r="D29" s="134"/>
      <c r="E29" s="134"/>
      <c r="F29" s="134"/>
      <c r="G29" s="134"/>
      <c r="H29" s="134"/>
      <c r="I29" s="134"/>
      <c r="J29" s="134"/>
      <c r="K29" s="3" t="s">
        <v>86</v>
      </c>
      <c r="V29" s="120">
        <v>10001</v>
      </c>
      <c r="W29" s="121">
        <v>2500</v>
      </c>
    </row>
    <row r="30" spans="2:26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2:26" x14ac:dyDescent="0.2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2:26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</row>
  </sheetData>
  <sheetProtection sheet="1" objects="1" scenarios="1"/>
  <mergeCells count="1">
    <mergeCell ref="G1:H1"/>
  </mergeCells>
  <phoneticPr fontId="0" type="noConversion"/>
  <pageMargins left="0.75" right="0.75" top="1" bottom="1" header="0.5" footer="0.5"/>
  <pageSetup orientation="portrait" horizontalDpi="4294967292" verticalDpi="96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Table</vt:lpstr>
      <vt:lpstr>Values</vt:lpstr>
      <vt:lpstr>_list</vt:lpstr>
      <vt:lpstr>_num</vt:lpstr>
      <vt:lpstr>_travel_time</vt:lpstr>
      <vt:lpstr>Constants</vt:lpstr>
      <vt:lpstr>DC_used</vt:lpstr>
      <vt:lpstr>DxR</vt:lpstr>
      <vt:lpstr>eMax</vt:lpstr>
      <vt:lpstr>Incr</vt:lpstr>
      <vt:lpstr>Incr_DC</vt:lpstr>
      <vt:lpstr>Lanes</vt:lpstr>
      <vt:lpstr>Lanes_adj</vt:lpstr>
      <vt:lpstr>Length</vt:lpstr>
      <vt:lpstr>Metric</vt:lpstr>
      <vt:lpstr>MinR</vt:lpstr>
      <vt:lpstr>NC</vt:lpstr>
      <vt:lpstr>Round_e</vt:lpstr>
      <vt:lpstr>Round_L</vt:lpstr>
      <vt:lpstr>Speed2</vt:lpstr>
      <vt:lpstr>Speed3</vt:lpstr>
      <vt:lpstr>Speeds2</vt:lpstr>
      <vt:lpstr>Speeds3</vt:lpstr>
      <vt:lpstr>Travel_time</vt:lpstr>
      <vt:lpstr>V</vt:lpstr>
      <vt:lpstr>Width</vt:lpstr>
    </vt:vector>
  </TitlesOfParts>
  <Company>Federal Highway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mharman</dc:creator>
  <cp:lastModifiedBy>Stephen Chapman</cp:lastModifiedBy>
  <cp:lastPrinted>2001-08-28T19:11:17Z</cp:lastPrinted>
  <dcterms:created xsi:type="dcterms:W3CDTF">2001-01-03T23:45:29Z</dcterms:created>
  <dcterms:modified xsi:type="dcterms:W3CDTF">2012-09-19T15:37:06Z</dcterms:modified>
</cp:coreProperties>
</file>