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p.abbenachandri.ctr\Downloads\"/>
    </mc:Choice>
  </mc:AlternateContent>
  <xr:revisionPtr revIDLastSave="0" documentId="8_{9B7410A9-8E99-4621-8B1B-0FD46BD71661}" xr6:coauthVersionLast="45" xr6:coauthVersionMax="45" xr10:uidLastSave="{00000000-0000-0000-0000-000000000000}"/>
  <bookViews>
    <workbookView xWindow="-108" yWindow="-108" windowWidth="23256" windowHeight="12576" activeTab="2" xr2:uid="{00000000-000D-0000-FFFF-FFFF00000000}"/>
  </bookViews>
  <sheets>
    <sheet name="Instructions" sheetId="48" r:id="rId1"/>
    <sheet name="SCH A" sheetId="1" r:id="rId2"/>
    <sheet name="inputSchA" sheetId="32" r:id="rId3"/>
    <sheet name="SCH B" sheetId="39" r:id="rId4"/>
    <sheet name="inputSchB" sheetId="38" r:id="rId5"/>
    <sheet name="SCH C" sheetId="41" r:id="rId6"/>
    <sheet name="inputSchC" sheetId="40" r:id="rId7"/>
    <sheet name="SCH D" sheetId="43" r:id="rId8"/>
    <sheet name="inputSchD" sheetId="42" r:id="rId9"/>
    <sheet name="SCH E" sheetId="45" r:id="rId10"/>
    <sheet name="inputSchE" sheetId="44" r:id="rId11"/>
    <sheet name="SCH F" sheetId="47" r:id="rId12"/>
    <sheet name="inputSchF" sheetId="46" r:id="rId13"/>
    <sheet name="Acquisition Incentive Summary" sheetId="5" r:id="rId14"/>
    <sheet name="VLookup table" sheetId="2" state="hidden" r:id="rId15"/>
  </sheets>
  <externalReferences>
    <externalReference r:id="rId16"/>
  </externalReferences>
  <definedNames>
    <definedName name="_xlnm._FilterDatabase" localSheetId="14" hidden="1">'VLookup table'!$H$1:$H$56</definedName>
    <definedName name="FP" localSheetId="3">'SCH B'!$E$3</definedName>
    <definedName name="FP">'SCH A'!$E$3</definedName>
    <definedName name="_xlnm.Print_Area" localSheetId="1">'SCH A'!$A$1:$J$187</definedName>
    <definedName name="_xlnm.Print_Area" localSheetId="3">'SCH B'!$A$1:$J$187</definedName>
    <definedName name="_xlnm.Print_Area" localSheetId="5">'SCH C'!$A$1:$J$187</definedName>
    <definedName name="_xlnm.Print_Area" localSheetId="7">'SCH D'!$A$1:$J$187</definedName>
    <definedName name="_xlnm.Print_Area" localSheetId="9">'SCH E'!$A$1:$J$187</definedName>
    <definedName name="_xlnm.Print_Area" localSheetId="11">'SCH F'!$A$1:$J$187</definedName>
    <definedName name="PROJECT">[1]Instructions!$I$6</definedName>
    <definedName name="Units" localSheetId="3">'SCH B'!$J$9</definedName>
    <definedName name="Units">'SCH A'!$J$9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32" l="1"/>
  <c r="E99" i="32"/>
  <c r="D100" i="32"/>
  <c r="D101" i="32"/>
  <c r="E100" i="32"/>
  <c r="E101" i="32"/>
  <c r="D102" i="32"/>
  <c r="E102" i="32"/>
  <c r="D103" i="32"/>
  <c r="E103" i="32"/>
  <c r="D104" i="32"/>
  <c r="E104" i="32"/>
  <c r="D105" i="32"/>
  <c r="E105" i="32"/>
  <c r="F106" i="42"/>
  <c r="F107" i="42"/>
  <c r="F108" i="42"/>
  <c r="F109" i="42"/>
  <c r="F110" i="42"/>
  <c r="F111" i="42"/>
  <c r="F112" i="42"/>
  <c r="F113" i="42"/>
  <c r="F114" i="42"/>
  <c r="F115" i="42"/>
  <c r="F116" i="42"/>
  <c r="F117" i="42"/>
  <c r="F118" i="42"/>
  <c r="F119" i="42"/>
  <c r="F120" i="42"/>
  <c r="F121" i="42"/>
  <c r="F122" i="42"/>
  <c r="F123" i="42"/>
  <c r="F124" i="42"/>
  <c r="F125" i="42"/>
  <c r="F126" i="42"/>
  <c r="F127" i="42"/>
  <c r="F128" i="42"/>
  <c r="F129" i="42"/>
  <c r="F130" i="42"/>
  <c r="F131" i="42"/>
  <c r="F132" i="42"/>
  <c r="F133" i="42"/>
  <c r="F134" i="42"/>
  <c r="F135" i="42"/>
  <c r="F136" i="42"/>
  <c r="F137" i="42"/>
  <c r="F138" i="42"/>
  <c r="F139" i="42"/>
  <c r="F140" i="42"/>
  <c r="F141" i="42"/>
  <c r="F142" i="42"/>
  <c r="F143" i="42"/>
  <c r="F144" i="42"/>
  <c r="F145" i="42"/>
  <c r="F146" i="42"/>
  <c r="F147" i="42"/>
  <c r="F148" i="42"/>
  <c r="F149" i="42"/>
  <c r="F150" i="42"/>
  <c r="F104" i="32" l="1"/>
  <c r="F101" i="32"/>
  <c r="F105" i="32"/>
  <c r="F103" i="32"/>
  <c r="F100" i="32"/>
  <c r="F102" i="32"/>
  <c r="F99" i="32"/>
  <c r="J67" i="47"/>
  <c r="J67" i="45"/>
  <c r="J67" i="43"/>
  <c r="J67" i="41"/>
  <c r="J67" i="39"/>
  <c r="J67" i="1"/>
  <c r="H17" i="39"/>
  <c r="H19" i="39"/>
  <c r="H21" i="39"/>
  <c r="H23" i="39"/>
  <c r="H25" i="39"/>
  <c r="D31" i="1" l="1"/>
  <c r="D35" i="1"/>
  <c r="D33" i="1"/>
  <c r="D25" i="1"/>
  <c r="D23" i="1"/>
  <c r="E3" i="47" l="1"/>
  <c r="E3" i="45"/>
  <c r="E3" i="43"/>
  <c r="E3" i="41"/>
  <c r="E3" i="39"/>
  <c r="J9" i="47"/>
  <c r="J9" i="45"/>
  <c r="J9" i="43"/>
  <c r="J9" i="41"/>
  <c r="J9" i="39"/>
  <c r="E14" i="39" s="1"/>
  <c r="C5" i="1"/>
  <c r="C5" i="39" s="1"/>
  <c r="A2" i="47"/>
  <c r="A2" i="45"/>
  <c r="A2" i="43"/>
  <c r="A2" i="41"/>
  <c r="A2" i="39"/>
  <c r="I138" i="39"/>
  <c r="I13" i="5"/>
  <c r="H13" i="5"/>
  <c r="G13" i="5"/>
  <c r="F13" i="5"/>
  <c r="E13" i="5"/>
  <c r="D13" i="5"/>
  <c r="J9" i="1"/>
  <c r="E3" i="1"/>
  <c r="C7" i="1"/>
  <c r="C7" i="45" s="1"/>
  <c r="G7" i="47"/>
  <c r="F7" i="47"/>
  <c r="E7" i="47"/>
  <c r="D7" i="47"/>
  <c r="H14" i="1" l="1"/>
  <c r="E14" i="1"/>
  <c r="E30" i="1"/>
  <c r="C7" i="39"/>
  <c r="C7" i="43"/>
  <c r="C7" i="47"/>
  <c r="C7" i="41"/>
  <c r="C5" i="41"/>
  <c r="C5" i="47"/>
  <c r="C5" i="43"/>
  <c r="C5" i="45"/>
  <c r="I14" i="5" l="1"/>
  <c r="H14" i="5"/>
  <c r="G14" i="5"/>
  <c r="F14" i="5"/>
  <c r="E14" i="5"/>
  <c r="D14" i="5"/>
  <c r="J187" i="47"/>
  <c r="G179" i="47"/>
  <c r="I22" i="5" s="1"/>
  <c r="G175" i="47"/>
  <c r="G173" i="47"/>
  <c r="G162" i="47"/>
  <c r="I21" i="5" s="1"/>
  <c r="G156" i="47"/>
  <c r="G149" i="47"/>
  <c r="C149" i="47"/>
  <c r="A149" i="47"/>
  <c r="G148" i="47"/>
  <c r="C148" i="47"/>
  <c r="A148" i="47"/>
  <c r="D148" i="47" s="1"/>
  <c r="A147" i="47"/>
  <c r="G146" i="47"/>
  <c r="C146" i="47"/>
  <c r="A146" i="47"/>
  <c r="A145" i="47"/>
  <c r="D146" i="47" s="1"/>
  <c r="G144" i="47"/>
  <c r="C144" i="47"/>
  <c r="A144" i="47"/>
  <c r="A143" i="47"/>
  <c r="D144" i="47" s="1"/>
  <c r="J139" i="47"/>
  <c r="J138" i="47"/>
  <c r="I138" i="47"/>
  <c r="C138" i="47"/>
  <c r="J136" i="47"/>
  <c r="C136" i="47"/>
  <c r="E134" i="47"/>
  <c r="J131" i="47"/>
  <c r="G129" i="47"/>
  <c r="C129" i="47"/>
  <c r="A129" i="47"/>
  <c r="G128" i="47"/>
  <c r="C128" i="47"/>
  <c r="A128" i="47"/>
  <c r="G127" i="47"/>
  <c r="C127" i="47"/>
  <c r="A127" i="47"/>
  <c r="A126" i="47"/>
  <c r="E126" i="47" s="1"/>
  <c r="G125" i="47"/>
  <c r="C125" i="47"/>
  <c r="A125" i="47"/>
  <c r="G124" i="47"/>
  <c r="C124" i="47"/>
  <c r="A124" i="47"/>
  <c r="A123" i="47"/>
  <c r="D124" i="47" s="1"/>
  <c r="G122" i="47"/>
  <c r="C122" i="47"/>
  <c r="A122" i="47"/>
  <c r="D121" i="47" s="1"/>
  <c r="G121" i="47"/>
  <c r="C121" i="47"/>
  <c r="A121" i="47"/>
  <c r="A120" i="47"/>
  <c r="G119" i="47"/>
  <c r="C119" i="47"/>
  <c r="A119" i="47"/>
  <c r="G118" i="47"/>
  <c r="C118" i="47"/>
  <c r="A118" i="47"/>
  <c r="D117" i="47" s="1"/>
  <c r="G117" i="47"/>
  <c r="C117" i="47"/>
  <c r="A117" i="47"/>
  <c r="A116" i="47"/>
  <c r="G115" i="47"/>
  <c r="C115" i="47"/>
  <c r="A115" i="47"/>
  <c r="D114" i="47" s="1"/>
  <c r="G114" i="47"/>
  <c r="C114" i="47"/>
  <c r="A114" i="47"/>
  <c r="A113" i="47"/>
  <c r="G112" i="47"/>
  <c r="G111" i="47"/>
  <c r="G110" i="47"/>
  <c r="D110" i="47"/>
  <c r="E109" i="47"/>
  <c r="G108" i="47"/>
  <c r="C108" i="47"/>
  <c r="A108" i="47"/>
  <c r="G107" i="47"/>
  <c r="C107" i="47"/>
  <c r="A107" i="47"/>
  <c r="G106" i="47"/>
  <c r="C106" i="47"/>
  <c r="A106" i="47"/>
  <c r="G105" i="47"/>
  <c r="C105" i="47"/>
  <c r="A105" i="47"/>
  <c r="E103" i="47" s="1"/>
  <c r="G104" i="47"/>
  <c r="C104" i="47"/>
  <c r="A104" i="47"/>
  <c r="A103" i="47"/>
  <c r="G102" i="47"/>
  <c r="C102" i="47"/>
  <c r="A102" i="47"/>
  <c r="D101" i="47" s="1"/>
  <c r="G101" i="47"/>
  <c r="C101" i="47"/>
  <c r="A101" i="47"/>
  <c r="A100" i="47"/>
  <c r="G99" i="47"/>
  <c r="G98" i="47"/>
  <c r="G97" i="47"/>
  <c r="G96" i="47"/>
  <c r="G95" i="47"/>
  <c r="G94" i="47"/>
  <c r="G93" i="47"/>
  <c r="G92" i="47"/>
  <c r="G91" i="47"/>
  <c r="D91" i="47"/>
  <c r="E90" i="47"/>
  <c r="G89" i="47"/>
  <c r="G88" i="47"/>
  <c r="G87" i="47"/>
  <c r="G86" i="47"/>
  <c r="G85" i="47"/>
  <c r="G84" i="47"/>
  <c r="G83" i="47"/>
  <c r="G82" i="47"/>
  <c r="G81" i="47"/>
  <c r="G80" i="47"/>
  <c r="D80" i="47"/>
  <c r="E79" i="47"/>
  <c r="J75" i="47"/>
  <c r="J74" i="47"/>
  <c r="I74" i="47"/>
  <c r="C74" i="47"/>
  <c r="J72" i="47"/>
  <c r="C72" i="47"/>
  <c r="E70" i="47"/>
  <c r="A64" i="47"/>
  <c r="C60" i="47"/>
  <c r="C59" i="47"/>
  <c r="C58" i="47"/>
  <c r="C55" i="47"/>
  <c r="J49" i="47"/>
  <c r="J47" i="47"/>
  <c r="J45" i="47"/>
  <c r="E44" i="47"/>
  <c r="H35" i="47"/>
  <c r="J35" i="47" s="1"/>
  <c r="H33" i="47"/>
  <c r="J33" i="47" s="1"/>
  <c r="H31" i="47"/>
  <c r="J31" i="47" s="1"/>
  <c r="H30" i="47"/>
  <c r="E30" i="47"/>
  <c r="H25" i="47"/>
  <c r="I25" i="47" s="1"/>
  <c r="H23" i="47"/>
  <c r="J23" i="47" s="1"/>
  <c r="H21" i="47"/>
  <c r="J21" i="47" s="1"/>
  <c r="H19" i="47"/>
  <c r="J19" i="47" s="1"/>
  <c r="H17" i="47"/>
  <c r="I17" i="47" s="1"/>
  <c r="H14" i="47"/>
  <c r="E14" i="47"/>
  <c r="A12" i="47"/>
  <c r="H11" i="47"/>
  <c r="J5" i="47"/>
  <c r="E105" i="46"/>
  <c r="D105" i="46"/>
  <c r="E104" i="46"/>
  <c r="D104" i="46"/>
  <c r="E103" i="46"/>
  <c r="D103" i="46"/>
  <c r="E102" i="46"/>
  <c r="D102" i="46"/>
  <c r="E101" i="46"/>
  <c r="D101" i="46"/>
  <c r="E100" i="46"/>
  <c r="D100" i="46"/>
  <c r="E99" i="46"/>
  <c r="D99" i="46"/>
  <c r="E98" i="46"/>
  <c r="D98" i="46"/>
  <c r="E97" i="46"/>
  <c r="D97" i="46"/>
  <c r="E96" i="46"/>
  <c r="D96" i="46"/>
  <c r="E95" i="46"/>
  <c r="D95" i="46"/>
  <c r="E94" i="46"/>
  <c r="D94" i="46"/>
  <c r="E93" i="46"/>
  <c r="D93" i="46"/>
  <c r="E92" i="46"/>
  <c r="D92" i="46"/>
  <c r="E91" i="46"/>
  <c r="D91" i="46"/>
  <c r="E90" i="46"/>
  <c r="D90" i="46"/>
  <c r="E89" i="46"/>
  <c r="D89" i="46"/>
  <c r="E88" i="46"/>
  <c r="D88" i="46"/>
  <c r="E87" i="46"/>
  <c r="D87" i="46"/>
  <c r="E86" i="46"/>
  <c r="D86" i="46"/>
  <c r="E85" i="46"/>
  <c r="D85" i="46"/>
  <c r="E84" i="46"/>
  <c r="D84" i="46"/>
  <c r="E83" i="46"/>
  <c r="D83" i="46"/>
  <c r="E82" i="46"/>
  <c r="D82" i="46"/>
  <c r="E81" i="46"/>
  <c r="D81" i="46"/>
  <c r="E80" i="46"/>
  <c r="D80" i="46"/>
  <c r="E79" i="46"/>
  <c r="D79" i="46"/>
  <c r="E78" i="46"/>
  <c r="D78" i="46"/>
  <c r="E77" i="46"/>
  <c r="D77" i="46"/>
  <c r="E76" i="46"/>
  <c r="D76" i="46"/>
  <c r="E75" i="46"/>
  <c r="D75" i="46"/>
  <c r="E74" i="46"/>
  <c r="D74" i="46"/>
  <c r="E73" i="46"/>
  <c r="D73" i="46"/>
  <c r="E72" i="46"/>
  <c r="D72" i="46"/>
  <c r="E71" i="46"/>
  <c r="D71" i="46"/>
  <c r="E70" i="46"/>
  <c r="D70" i="46"/>
  <c r="E69" i="46"/>
  <c r="D69" i="46"/>
  <c r="E68" i="46"/>
  <c r="D68" i="46"/>
  <c r="E67" i="46"/>
  <c r="D67" i="46"/>
  <c r="E66" i="46"/>
  <c r="D66" i="46"/>
  <c r="E65" i="46"/>
  <c r="D65" i="46"/>
  <c r="E64" i="46"/>
  <c r="D64" i="46"/>
  <c r="E63" i="46"/>
  <c r="D63" i="46"/>
  <c r="E62" i="46"/>
  <c r="D62" i="46"/>
  <c r="E61" i="46"/>
  <c r="D61" i="46"/>
  <c r="E60" i="46"/>
  <c r="D60" i="46"/>
  <c r="E59" i="46"/>
  <c r="D59" i="46"/>
  <c r="E58" i="46"/>
  <c r="D58" i="46"/>
  <c r="E57" i="46"/>
  <c r="D57" i="46"/>
  <c r="E56" i="46"/>
  <c r="D56" i="46"/>
  <c r="E55" i="46"/>
  <c r="D55" i="46"/>
  <c r="E54" i="46"/>
  <c r="D54" i="46"/>
  <c r="E53" i="46"/>
  <c r="D53" i="46"/>
  <c r="E52" i="46"/>
  <c r="D52" i="46"/>
  <c r="E51" i="46"/>
  <c r="D51" i="46"/>
  <c r="E50" i="46"/>
  <c r="D50" i="46"/>
  <c r="E49" i="46"/>
  <c r="D49" i="46"/>
  <c r="E48" i="46"/>
  <c r="D48" i="46"/>
  <c r="E47" i="46"/>
  <c r="D47" i="46"/>
  <c r="E46" i="46"/>
  <c r="D46" i="46"/>
  <c r="E45" i="46"/>
  <c r="D45" i="46"/>
  <c r="E44" i="46"/>
  <c r="D44" i="46"/>
  <c r="E43" i="46"/>
  <c r="D43" i="46"/>
  <c r="E42" i="46"/>
  <c r="D42" i="46"/>
  <c r="E41" i="46"/>
  <c r="D41" i="46"/>
  <c r="E40" i="46"/>
  <c r="D40" i="46"/>
  <c r="E39" i="46"/>
  <c r="D39" i="46"/>
  <c r="E38" i="46"/>
  <c r="D38" i="46"/>
  <c r="E37" i="46"/>
  <c r="D37" i="46"/>
  <c r="E36" i="46"/>
  <c r="D36" i="46"/>
  <c r="E35" i="46"/>
  <c r="D35" i="46"/>
  <c r="E34" i="46"/>
  <c r="D34" i="46"/>
  <c r="E33" i="46"/>
  <c r="D33" i="46"/>
  <c r="E32" i="46"/>
  <c r="D32" i="46"/>
  <c r="E31" i="46"/>
  <c r="D31" i="46"/>
  <c r="E30" i="46"/>
  <c r="D30" i="46"/>
  <c r="E29" i="46"/>
  <c r="D29" i="46"/>
  <c r="E28" i="46"/>
  <c r="D28" i="46"/>
  <c r="E27" i="46"/>
  <c r="D27" i="46"/>
  <c r="E26" i="46"/>
  <c r="D26" i="46"/>
  <c r="E25" i="46"/>
  <c r="D25" i="46"/>
  <c r="E24" i="46"/>
  <c r="D24" i="46"/>
  <c r="E23" i="46"/>
  <c r="D23" i="46"/>
  <c r="E22" i="46"/>
  <c r="D22" i="46"/>
  <c r="E21" i="46"/>
  <c r="D21" i="46"/>
  <c r="E20" i="46"/>
  <c r="D20" i="46"/>
  <c r="E19" i="46"/>
  <c r="D19" i="46"/>
  <c r="E18" i="46"/>
  <c r="D18" i="46"/>
  <c r="E17" i="46"/>
  <c r="D17" i="46"/>
  <c r="E16" i="46"/>
  <c r="D16" i="46"/>
  <c r="E15" i="46"/>
  <c r="D15" i="46"/>
  <c r="E14" i="46"/>
  <c r="D14" i="46"/>
  <c r="E13" i="46"/>
  <c r="D13" i="46"/>
  <c r="E12" i="46"/>
  <c r="D12" i="46"/>
  <c r="E11" i="46"/>
  <c r="D11" i="46"/>
  <c r="E10" i="46"/>
  <c r="D10" i="46"/>
  <c r="E9" i="46"/>
  <c r="D9" i="46"/>
  <c r="E8" i="46"/>
  <c r="D8" i="46"/>
  <c r="E7" i="46"/>
  <c r="D7" i="46"/>
  <c r="E6" i="46"/>
  <c r="D6" i="46"/>
  <c r="E5" i="46"/>
  <c r="D5" i="46"/>
  <c r="E4" i="46"/>
  <c r="D4" i="46"/>
  <c r="E3" i="46"/>
  <c r="D3" i="46"/>
  <c r="E2" i="46"/>
  <c r="D2" i="46"/>
  <c r="J187" i="45"/>
  <c r="G179" i="45"/>
  <c r="H22" i="5" s="1"/>
  <c r="G175" i="45"/>
  <c r="G173" i="45"/>
  <c r="G162" i="45"/>
  <c r="H21" i="5" s="1"/>
  <c r="G156" i="45"/>
  <c r="G149" i="45"/>
  <c r="C149" i="45"/>
  <c r="A149" i="45"/>
  <c r="G148" i="45"/>
  <c r="C148" i="45"/>
  <c r="A148" i="45"/>
  <c r="D148" i="45" s="1"/>
  <c r="A147" i="45"/>
  <c r="G146" i="45"/>
  <c r="C146" i="45"/>
  <c r="A146" i="45"/>
  <c r="A145" i="45"/>
  <c r="D146" i="45" s="1"/>
  <c r="G144" i="45"/>
  <c r="C144" i="45"/>
  <c r="A144" i="45"/>
  <c r="A143" i="45"/>
  <c r="D144" i="45" s="1"/>
  <c r="J139" i="45"/>
  <c r="J138" i="45"/>
  <c r="I138" i="45"/>
  <c r="C138" i="45"/>
  <c r="J136" i="45"/>
  <c r="C136" i="45"/>
  <c r="E134" i="45"/>
  <c r="J131" i="45"/>
  <c r="G129" i="45"/>
  <c r="C129" i="45"/>
  <c r="A129" i="45"/>
  <c r="G128" i="45"/>
  <c r="C128" i="45"/>
  <c r="A128" i="45"/>
  <c r="G127" i="45"/>
  <c r="C127" i="45"/>
  <c r="A127" i="45"/>
  <c r="A126" i="45"/>
  <c r="E126" i="45" s="1"/>
  <c r="G125" i="45"/>
  <c r="C125" i="45"/>
  <c r="A125" i="45"/>
  <c r="G124" i="45"/>
  <c r="C124" i="45"/>
  <c r="A124" i="45"/>
  <c r="A123" i="45"/>
  <c r="D124" i="45" s="1"/>
  <c r="G122" i="45"/>
  <c r="C122" i="45"/>
  <c r="A122" i="45"/>
  <c r="D121" i="45" s="1"/>
  <c r="G121" i="45"/>
  <c r="C121" i="45"/>
  <c r="A121" i="45"/>
  <c r="A120" i="45"/>
  <c r="G119" i="45"/>
  <c r="C119" i="45"/>
  <c r="A119" i="45"/>
  <c r="G118" i="45"/>
  <c r="C118" i="45"/>
  <c r="A118" i="45"/>
  <c r="D117" i="45" s="1"/>
  <c r="G117" i="45"/>
  <c r="C117" i="45"/>
  <c r="A117" i="45"/>
  <c r="A116" i="45"/>
  <c r="G115" i="45"/>
  <c r="C115" i="45"/>
  <c r="A115" i="45"/>
  <c r="D114" i="45" s="1"/>
  <c r="G114" i="45"/>
  <c r="C114" i="45"/>
  <c r="A114" i="45"/>
  <c r="A113" i="45"/>
  <c r="G112" i="45"/>
  <c r="G111" i="45"/>
  <c r="G110" i="45"/>
  <c r="D110" i="45"/>
  <c r="E109" i="45"/>
  <c r="G108" i="45"/>
  <c r="C108" i="45"/>
  <c r="A108" i="45"/>
  <c r="G107" i="45"/>
  <c r="C107" i="45"/>
  <c r="A107" i="45"/>
  <c r="G106" i="45"/>
  <c r="C106" i="45"/>
  <c r="A106" i="45"/>
  <c r="G105" i="45"/>
  <c r="C105" i="45"/>
  <c r="A105" i="45"/>
  <c r="E103" i="45" s="1"/>
  <c r="G104" i="45"/>
  <c r="C104" i="45"/>
  <c r="A104" i="45"/>
  <c r="A103" i="45"/>
  <c r="G102" i="45"/>
  <c r="C102" i="45"/>
  <c r="A102" i="45"/>
  <c r="D101" i="45" s="1"/>
  <c r="G101" i="45"/>
  <c r="C101" i="45"/>
  <c r="A101" i="45"/>
  <c r="A100" i="45"/>
  <c r="G99" i="45"/>
  <c r="G98" i="45"/>
  <c r="G97" i="45"/>
  <c r="G96" i="45"/>
  <c r="G95" i="45"/>
  <c r="G94" i="45"/>
  <c r="G93" i="45"/>
  <c r="G92" i="45"/>
  <c r="G91" i="45"/>
  <c r="D91" i="45"/>
  <c r="E90" i="45"/>
  <c r="G89" i="45"/>
  <c r="G88" i="45"/>
  <c r="G87" i="45"/>
  <c r="G86" i="45"/>
  <c r="G85" i="45"/>
  <c r="G84" i="45"/>
  <c r="G83" i="45"/>
  <c r="G82" i="45"/>
  <c r="G81" i="45"/>
  <c r="G80" i="45"/>
  <c r="D80" i="45"/>
  <c r="E79" i="45"/>
  <c r="J75" i="45"/>
  <c r="J74" i="45"/>
  <c r="I74" i="45"/>
  <c r="C74" i="45"/>
  <c r="J72" i="45"/>
  <c r="C72" i="45"/>
  <c r="E70" i="45"/>
  <c r="A64" i="45"/>
  <c r="C60" i="45"/>
  <c r="C59" i="45"/>
  <c r="C58" i="45"/>
  <c r="C55" i="45"/>
  <c r="J49" i="45"/>
  <c r="J47" i="45"/>
  <c r="J45" i="45"/>
  <c r="E44" i="45"/>
  <c r="H35" i="45"/>
  <c r="J35" i="45" s="1"/>
  <c r="J33" i="45"/>
  <c r="I33" i="45"/>
  <c r="H33" i="45"/>
  <c r="I31" i="45"/>
  <c r="H31" i="45"/>
  <c r="J31" i="45" s="1"/>
  <c r="H30" i="45"/>
  <c r="E30" i="45"/>
  <c r="H25" i="45"/>
  <c r="J25" i="45" s="1"/>
  <c r="H23" i="45"/>
  <c r="I23" i="45" s="1"/>
  <c r="H21" i="45"/>
  <c r="J21" i="45" s="1"/>
  <c r="H19" i="45"/>
  <c r="I19" i="45" s="1"/>
  <c r="H14" i="45"/>
  <c r="E14" i="45"/>
  <c r="A12" i="45"/>
  <c r="H11" i="45"/>
  <c r="J5" i="45"/>
  <c r="E105" i="44"/>
  <c r="D105" i="44"/>
  <c r="F105" i="44" s="1"/>
  <c r="E104" i="44"/>
  <c r="D104" i="44"/>
  <c r="F104" i="44" s="1"/>
  <c r="E103" i="44"/>
  <c r="D103" i="44"/>
  <c r="F103" i="44" s="1"/>
  <c r="E102" i="44"/>
  <c r="D102" i="44"/>
  <c r="F102" i="44" s="1"/>
  <c r="E101" i="44"/>
  <c r="D101" i="44"/>
  <c r="F101" i="44" s="1"/>
  <c r="E100" i="44"/>
  <c r="D100" i="44"/>
  <c r="F100" i="44" s="1"/>
  <c r="E99" i="44"/>
  <c r="D99" i="44"/>
  <c r="F99" i="44" s="1"/>
  <c r="E98" i="44"/>
  <c r="D98" i="44"/>
  <c r="E97" i="44"/>
  <c r="D97" i="44"/>
  <c r="E96" i="44"/>
  <c r="D96" i="44"/>
  <c r="E95" i="44"/>
  <c r="D95" i="44"/>
  <c r="E94" i="44"/>
  <c r="D94" i="44"/>
  <c r="E93" i="44"/>
  <c r="D93" i="44"/>
  <c r="E92" i="44"/>
  <c r="D92" i="44"/>
  <c r="E91" i="44"/>
  <c r="D91" i="44"/>
  <c r="E90" i="44"/>
  <c r="D90" i="44"/>
  <c r="E89" i="44"/>
  <c r="D89" i="44"/>
  <c r="E88" i="44"/>
  <c r="D88" i="44"/>
  <c r="E87" i="44"/>
  <c r="D87" i="44"/>
  <c r="E86" i="44"/>
  <c r="D86" i="44"/>
  <c r="E85" i="44"/>
  <c r="D85" i="44"/>
  <c r="E84" i="44"/>
  <c r="D84" i="44"/>
  <c r="E83" i="44"/>
  <c r="D83" i="44"/>
  <c r="E82" i="44"/>
  <c r="D82" i="44"/>
  <c r="E81" i="44"/>
  <c r="D81" i="44"/>
  <c r="E80" i="44"/>
  <c r="D80" i="44"/>
  <c r="E79" i="44"/>
  <c r="D79" i="44"/>
  <c r="E78" i="44"/>
  <c r="D78" i="44"/>
  <c r="E77" i="44"/>
  <c r="D77" i="44"/>
  <c r="E76" i="44"/>
  <c r="D76" i="44"/>
  <c r="E75" i="44"/>
  <c r="D75" i="44"/>
  <c r="E74" i="44"/>
  <c r="D74" i="44"/>
  <c r="E73" i="44"/>
  <c r="D73" i="44"/>
  <c r="E72" i="44"/>
  <c r="D72" i="44"/>
  <c r="E71" i="44"/>
  <c r="D71" i="44"/>
  <c r="E70" i="44"/>
  <c r="D70" i="44"/>
  <c r="E69" i="44"/>
  <c r="D69" i="44"/>
  <c r="E68" i="44"/>
  <c r="D68" i="44"/>
  <c r="E67" i="44"/>
  <c r="D67" i="44"/>
  <c r="E66" i="44"/>
  <c r="D66" i="44"/>
  <c r="E65" i="44"/>
  <c r="D65" i="44"/>
  <c r="E64" i="44"/>
  <c r="D64" i="44"/>
  <c r="E63" i="44"/>
  <c r="D63" i="44"/>
  <c r="E62" i="44"/>
  <c r="D62" i="44"/>
  <c r="E61" i="44"/>
  <c r="D61" i="44"/>
  <c r="E60" i="44"/>
  <c r="D60" i="44"/>
  <c r="E59" i="44"/>
  <c r="D59" i="44"/>
  <c r="E58" i="44"/>
  <c r="D58" i="44"/>
  <c r="F58" i="44" s="1"/>
  <c r="E57" i="44"/>
  <c r="D57" i="44"/>
  <c r="E56" i="44"/>
  <c r="D56" i="44"/>
  <c r="E55" i="44"/>
  <c r="D55" i="44"/>
  <c r="E54" i="44"/>
  <c r="D54" i="44"/>
  <c r="E53" i="44"/>
  <c r="D53" i="44"/>
  <c r="E52" i="44"/>
  <c r="D52" i="44"/>
  <c r="E51" i="44"/>
  <c r="D51" i="44"/>
  <c r="E50" i="44"/>
  <c r="D50" i="44"/>
  <c r="E49" i="44"/>
  <c r="D49" i="44"/>
  <c r="E48" i="44"/>
  <c r="D48" i="44"/>
  <c r="E47" i="44"/>
  <c r="D47" i="44"/>
  <c r="E46" i="44"/>
  <c r="D46" i="44"/>
  <c r="F46" i="44" s="1"/>
  <c r="E45" i="44"/>
  <c r="D45" i="44"/>
  <c r="E44" i="44"/>
  <c r="D44" i="44"/>
  <c r="E43" i="44"/>
  <c r="D43" i="44"/>
  <c r="E42" i="44"/>
  <c r="D42" i="44"/>
  <c r="E41" i="44"/>
  <c r="D41" i="44"/>
  <c r="E40" i="44"/>
  <c r="D40" i="44"/>
  <c r="F40" i="44" s="1"/>
  <c r="E39" i="44"/>
  <c r="D39" i="44"/>
  <c r="E38" i="44"/>
  <c r="D38" i="44"/>
  <c r="E37" i="44"/>
  <c r="D37" i="44"/>
  <c r="E36" i="44"/>
  <c r="D36" i="44"/>
  <c r="E35" i="44"/>
  <c r="D35" i="44"/>
  <c r="E34" i="44"/>
  <c r="D34" i="44"/>
  <c r="E33" i="44"/>
  <c r="D33" i="44"/>
  <c r="E32" i="44"/>
  <c r="D32" i="44"/>
  <c r="E31" i="44"/>
  <c r="D31" i="44"/>
  <c r="E30" i="44"/>
  <c r="D30" i="44"/>
  <c r="E29" i="44"/>
  <c r="D29" i="44"/>
  <c r="E28" i="44"/>
  <c r="D28" i="44"/>
  <c r="E27" i="44"/>
  <c r="D27" i="44"/>
  <c r="E26" i="44"/>
  <c r="D26" i="44"/>
  <c r="E25" i="44"/>
  <c r="D25" i="44"/>
  <c r="E24" i="44"/>
  <c r="D24" i="44"/>
  <c r="E23" i="44"/>
  <c r="D23" i="44"/>
  <c r="E22" i="44"/>
  <c r="D22" i="44"/>
  <c r="E21" i="44"/>
  <c r="D21" i="44"/>
  <c r="E20" i="44"/>
  <c r="D20" i="44"/>
  <c r="E19" i="44"/>
  <c r="D19" i="44"/>
  <c r="E18" i="44"/>
  <c r="D18" i="44"/>
  <c r="E17" i="44"/>
  <c r="D17" i="44"/>
  <c r="E16" i="44"/>
  <c r="D16" i="44"/>
  <c r="E15" i="44"/>
  <c r="D15" i="44"/>
  <c r="E14" i="44"/>
  <c r="D14" i="44"/>
  <c r="E13" i="44"/>
  <c r="D13" i="44"/>
  <c r="E12" i="44"/>
  <c r="D12" i="44"/>
  <c r="E11" i="44"/>
  <c r="D11" i="44"/>
  <c r="E10" i="44"/>
  <c r="D10" i="44"/>
  <c r="E9" i="44"/>
  <c r="D9" i="44"/>
  <c r="E8" i="44"/>
  <c r="D8" i="44"/>
  <c r="E7" i="44"/>
  <c r="D7" i="44"/>
  <c r="E6" i="44"/>
  <c r="D6" i="44"/>
  <c r="E5" i="44"/>
  <c r="D5" i="44"/>
  <c r="E4" i="44"/>
  <c r="D4" i="44"/>
  <c r="E3" i="44"/>
  <c r="D3" i="44"/>
  <c r="E2" i="44"/>
  <c r="D2" i="44"/>
  <c r="J187" i="43"/>
  <c r="G179" i="43"/>
  <c r="G22" i="5" s="1"/>
  <c r="G175" i="43"/>
  <c r="G173" i="43"/>
  <c r="G162" i="43"/>
  <c r="G21" i="5" s="1"/>
  <c r="G156" i="43"/>
  <c r="G149" i="43"/>
  <c r="C149" i="43"/>
  <c r="A149" i="43"/>
  <c r="G148" i="43"/>
  <c r="C148" i="43"/>
  <c r="A148" i="43"/>
  <c r="D148" i="43" s="1"/>
  <c r="A147" i="43"/>
  <c r="G146" i="43"/>
  <c r="C146" i="43"/>
  <c r="A146" i="43"/>
  <c r="A145" i="43"/>
  <c r="D146" i="43" s="1"/>
  <c r="G144" i="43"/>
  <c r="C144" i="43"/>
  <c r="A144" i="43"/>
  <c r="A143" i="43"/>
  <c r="D144" i="43" s="1"/>
  <c r="J139" i="43"/>
  <c r="J138" i="43"/>
  <c r="I138" i="43"/>
  <c r="C138" i="43"/>
  <c r="J136" i="43"/>
  <c r="C136" i="43"/>
  <c r="E134" i="43"/>
  <c r="J131" i="43"/>
  <c r="G129" i="43"/>
  <c r="C129" i="43"/>
  <c r="A129" i="43"/>
  <c r="G128" i="43"/>
  <c r="C128" i="43"/>
  <c r="A128" i="43"/>
  <c r="G127" i="43"/>
  <c r="C127" i="43"/>
  <c r="A127" i="43"/>
  <c r="A126" i="43"/>
  <c r="E126" i="43" s="1"/>
  <c r="G125" i="43"/>
  <c r="C125" i="43"/>
  <c r="A125" i="43"/>
  <c r="G124" i="43"/>
  <c r="C124" i="43"/>
  <c r="A124" i="43"/>
  <c r="A123" i="43"/>
  <c r="D124" i="43" s="1"/>
  <c r="G122" i="43"/>
  <c r="C122" i="43"/>
  <c r="A122" i="43"/>
  <c r="D121" i="43" s="1"/>
  <c r="G121" i="43"/>
  <c r="C121" i="43"/>
  <c r="A121" i="43"/>
  <c r="A120" i="43"/>
  <c r="G119" i="43"/>
  <c r="C119" i="43"/>
  <c r="A119" i="43"/>
  <c r="G118" i="43"/>
  <c r="C118" i="43"/>
  <c r="A118" i="43"/>
  <c r="D117" i="43" s="1"/>
  <c r="G117" i="43"/>
  <c r="C117" i="43"/>
  <c r="A117" i="43"/>
  <c r="A116" i="43"/>
  <c r="G115" i="43"/>
  <c r="C115" i="43"/>
  <c r="A115" i="43"/>
  <c r="D114" i="43" s="1"/>
  <c r="G114" i="43"/>
  <c r="C114" i="43"/>
  <c r="A114" i="43"/>
  <c r="A113" i="43"/>
  <c r="G112" i="43"/>
  <c r="G111" i="43"/>
  <c r="G110" i="43"/>
  <c r="D110" i="43"/>
  <c r="E109" i="43"/>
  <c r="G108" i="43"/>
  <c r="C108" i="43"/>
  <c r="A108" i="43"/>
  <c r="G107" i="43"/>
  <c r="C107" i="43"/>
  <c r="A107" i="43"/>
  <c r="G106" i="43"/>
  <c r="C106" i="43"/>
  <c r="A106" i="43"/>
  <c r="G105" i="43"/>
  <c r="C105" i="43"/>
  <c r="A105" i="43"/>
  <c r="E103" i="43" s="1"/>
  <c r="G104" i="43"/>
  <c r="C104" i="43"/>
  <c r="A104" i="43"/>
  <c r="A103" i="43"/>
  <c r="G102" i="43"/>
  <c r="C102" i="43"/>
  <c r="A102" i="43"/>
  <c r="D101" i="43" s="1"/>
  <c r="G101" i="43"/>
  <c r="C101" i="43"/>
  <c r="A101" i="43"/>
  <c r="A100" i="43"/>
  <c r="G99" i="43"/>
  <c r="G98" i="43"/>
  <c r="G97" i="43"/>
  <c r="G96" i="43"/>
  <c r="G95" i="43"/>
  <c r="G94" i="43"/>
  <c r="G93" i="43"/>
  <c r="G92" i="43"/>
  <c r="G91" i="43"/>
  <c r="D91" i="43"/>
  <c r="E90" i="43"/>
  <c r="G89" i="43"/>
  <c r="G88" i="43"/>
  <c r="G87" i="43"/>
  <c r="G86" i="43"/>
  <c r="G85" i="43"/>
  <c r="G84" i="43"/>
  <c r="G83" i="43"/>
  <c r="G82" i="43"/>
  <c r="G81" i="43"/>
  <c r="G80" i="43"/>
  <c r="D80" i="43"/>
  <c r="E79" i="43"/>
  <c r="J75" i="43"/>
  <c r="J74" i="43"/>
  <c r="I74" i="43"/>
  <c r="C74" i="43"/>
  <c r="J72" i="43"/>
  <c r="C72" i="43"/>
  <c r="E70" i="43"/>
  <c r="A64" i="43"/>
  <c r="C60" i="43"/>
  <c r="C59" i="43"/>
  <c r="C58" i="43"/>
  <c r="C55" i="43"/>
  <c r="J49" i="43"/>
  <c r="J47" i="43"/>
  <c r="J45" i="43"/>
  <c r="E44" i="43"/>
  <c r="H35" i="43"/>
  <c r="J35" i="43" s="1"/>
  <c r="I33" i="43"/>
  <c r="H33" i="43"/>
  <c r="J33" i="43" s="1"/>
  <c r="H31" i="43"/>
  <c r="J31" i="43" s="1"/>
  <c r="H30" i="43"/>
  <c r="E30" i="43"/>
  <c r="H25" i="43"/>
  <c r="I25" i="43" s="1"/>
  <c r="H23" i="43"/>
  <c r="J23" i="43" s="1"/>
  <c r="H21" i="43"/>
  <c r="J21" i="43" s="1"/>
  <c r="H17" i="43"/>
  <c r="I17" i="43" s="1"/>
  <c r="H14" i="43"/>
  <c r="E14" i="43"/>
  <c r="A12" i="43"/>
  <c r="H11" i="43"/>
  <c r="J5" i="43"/>
  <c r="E105" i="42"/>
  <c r="D105" i="42"/>
  <c r="E104" i="42"/>
  <c r="D104" i="42"/>
  <c r="E103" i="42"/>
  <c r="D103" i="42"/>
  <c r="E102" i="42"/>
  <c r="D102" i="42"/>
  <c r="E101" i="42"/>
  <c r="D101" i="42"/>
  <c r="E100" i="42"/>
  <c r="D100" i="42"/>
  <c r="E99" i="42"/>
  <c r="D99" i="42"/>
  <c r="E98" i="42"/>
  <c r="D98" i="42"/>
  <c r="E97" i="42"/>
  <c r="D97" i="42"/>
  <c r="E96" i="42"/>
  <c r="D96" i="42"/>
  <c r="E95" i="42"/>
  <c r="D95" i="42"/>
  <c r="E94" i="42"/>
  <c r="D94" i="42"/>
  <c r="E93" i="42"/>
  <c r="D93" i="42"/>
  <c r="E92" i="42"/>
  <c r="D92" i="42"/>
  <c r="E91" i="42"/>
  <c r="D91" i="42"/>
  <c r="E90" i="42"/>
  <c r="D90" i="42"/>
  <c r="E89" i="42"/>
  <c r="D89" i="42"/>
  <c r="E88" i="42"/>
  <c r="D88" i="42"/>
  <c r="E87" i="42"/>
  <c r="D87" i="42"/>
  <c r="E86" i="42"/>
  <c r="D86" i="42"/>
  <c r="E85" i="42"/>
  <c r="D85" i="42"/>
  <c r="E84" i="42"/>
  <c r="D84" i="42"/>
  <c r="E83" i="42"/>
  <c r="D83" i="42"/>
  <c r="E82" i="42"/>
  <c r="D82" i="42"/>
  <c r="E81" i="42"/>
  <c r="D81" i="42"/>
  <c r="E80" i="42"/>
  <c r="D80" i="42"/>
  <c r="E79" i="42"/>
  <c r="D79" i="42"/>
  <c r="E78" i="42"/>
  <c r="D78" i="42"/>
  <c r="E77" i="42"/>
  <c r="D77" i="42"/>
  <c r="E76" i="42"/>
  <c r="D76" i="42"/>
  <c r="E75" i="42"/>
  <c r="D75" i="42"/>
  <c r="E74" i="42"/>
  <c r="D74" i="42"/>
  <c r="E73" i="42"/>
  <c r="D73" i="42"/>
  <c r="E72" i="42"/>
  <c r="D72" i="42"/>
  <c r="E71" i="42"/>
  <c r="D71" i="42"/>
  <c r="E70" i="42"/>
  <c r="D70" i="42"/>
  <c r="E69" i="42"/>
  <c r="D69" i="42"/>
  <c r="E68" i="42"/>
  <c r="D68" i="42"/>
  <c r="E67" i="42"/>
  <c r="D67" i="42"/>
  <c r="E66" i="42"/>
  <c r="D66" i="42"/>
  <c r="E65" i="42"/>
  <c r="D65" i="42"/>
  <c r="E64" i="42"/>
  <c r="D64" i="42"/>
  <c r="E63" i="42"/>
  <c r="D63" i="42"/>
  <c r="E62" i="42"/>
  <c r="D62" i="42"/>
  <c r="E61" i="42"/>
  <c r="D61" i="42"/>
  <c r="E60" i="42"/>
  <c r="D60" i="42"/>
  <c r="E59" i="42"/>
  <c r="D59" i="42"/>
  <c r="E58" i="42"/>
  <c r="D58" i="42"/>
  <c r="E57" i="42"/>
  <c r="D57" i="42"/>
  <c r="E56" i="42"/>
  <c r="D56" i="42"/>
  <c r="E55" i="42"/>
  <c r="D55" i="42"/>
  <c r="E54" i="42"/>
  <c r="D54" i="42"/>
  <c r="E53" i="42"/>
  <c r="D53" i="42"/>
  <c r="E52" i="42"/>
  <c r="D52" i="42"/>
  <c r="E51" i="42"/>
  <c r="D51" i="42"/>
  <c r="E50" i="42"/>
  <c r="D50" i="42"/>
  <c r="E49" i="42"/>
  <c r="D49" i="42"/>
  <c r="E48" i="42"/>
  <c r="D48" i="42"/>
  <c r="E47" i="42"/>
  <c r="D47" i="42"/>
  <c r="E46" i="42"/>
  <c r="D46" i="42"/>
  <c r="E45" i="42"/>
  <c r="D45" i="42"/>
  <c r="E44" i="42"/>
  <c r="D44" i="42"/>
  <c r="E43" i="42"/>
  <c r="D43" i="42"/>
  <c r="E42" i="42"/>
  <c r="D42" i="42"/>
  <c r="E41" i="42"/>
  <c r="D41" i="42"/>
  <c r="E40" i="42"/>
  <c r="D40" i="42"/>
  <c r="E39" i="42"/>
  <c r="D39" i="42"/>
  <c r="E38" i="42"/>
  <c r="D38" i="42"/>
  <c r="E37" i="42"/>
  <c r="D37" i="42"/>
  <c r="E36" i="42"/>
  <c r="D36" i="42"/>
  <c r="E35" i="42"/>
  <c r="D35" i="42"/>
  <c r="E34" i="42"/>
  <c r="D34" i="42"/>
  <c r="E33" i="42"/>
  <c r="D33" i="42"/>
  <c r="E32" i="42"/>
  <c r="D32" i="42"/>
  <c r="E31" i="42"/>
  <c r="D31" i="42"/>
  <c r="E30" i="42"/>
  <c r="D30" i="42"/>
  <c r="E29" i="42"/>
  <c r="D29" i="42"/>
  <c r="E28" i="42"/>
  <c r="D28" i="42"/>
  <c r="E27" i="42"/>
  <c r="D27" i="42"/>
  <c r="E26" i="42"/>
  <c r="D26" i="42"/>
  <c r="E25" i="42"/>
  <c r="D25" i="42"/>
  <c r="E24" i="42"/>
  <c r="D24" i="42"/>
  <c r="E23" i="42"/>
  <c r="D23" i="42"/>
  <c r="E22" i="42"/>
  <c r="D22" i="42"/>
  <c r="E21" i="42"/>
  <c r="D21" i="42"/>
  <c r="E20" i="42"/>
  <c r="D20" i="42"/>
  <c r="E19" i="42"/>
  <c r="D19" i="42"/>
  <c r="E18" i="42"/>
  <c r="D18" i="42"/>
  <c r="E17" i="42"/>
  <c r="D17" i="42"/>
  <c r="E16" i="42"/>
  <c r="D16" i="42"/>
  <c r="E15" i="42"/>
  <c r="D15" i="42"/>
  <c r="E14" i="42"/>
  <c r="D14" i="42"/>
  <c r="E13" i="42"/>
  <c r="D13" i="42"/>
  <c r="E12" i="42"/>
  <c r="D12" i="42"/>
  <c r="E11" i="42"/>
  <c r="D11" i="42"/>
  <c r="E10" i="42"/>
  <c r="D10" i="42"/>
  <c r="E9" i="42"/>
  <c r="D9" i="42"/>
  <c r="E8" i="42"/>
  <c r="D8" i="42"/>
  <c r="E7" i="42"/>
  <c r="D7" i="42"/>
  <c r="E6" i="42"/>
  <c r="D6" i="42"/>
  <c r="E5" i="42"/>
  <c r="D5" i="42"/>
  <c r="E4" i="42"/>
  <c r="D4" i="42"/>
  <c r="E3" i="42"/>
  <c r="D3" i="42"/>
  <c r="E2" i="42"/>
  <c r="D2" i="42"/>
  <c r="J187" i="41"/>
  <c r="G179" i="41"/>
  <c r="F22" i="5" s="1"/>
  <c r="G175" i="41"/>
  <c r="G173" i="41"/>
  <c r="G162" i="41"/>
  <c r="F21" i="5" s="1"/>
  <c r="G156" i="41"/>
  <c r="G149" i="41"/>
  <c r="C149" i="41"/>
  <c r="A149" i="41"/>
  <c r="G148" i="41"/>
  <c r="C148" i="41"/>
  <c r="A148" i="41"/>
  <c r="D148" i="41" s="1"/>
  <c r="A147" i="41"/>
  <c r="G146" i="41"/>
  <c r="C146" i="41"/>
  <c r="A146" i="41"/>
  <c r="A145" i="41"/>
  <c r="D146" i="41" s="1"/>
  <c r="G144" i="41"/>
  <c r="C144" i="41"/>
  <c r="A144" i="41"/>
  <c r="A143" i="41"/>
  <c r="D144" i="41" s="1"/>
  <c r="J139" i="41"/>
  <c r="J138" i="41"/>
  <c r="I138" i="41"/>
  <c r="C138" i="41"/>
  <c r="J136" i="41"/>
  <c r="C136" i="41"/>
  <c r="E134" i="41"/>
  <c r="J131" i="41"/>
  <c r="G129" i="41"/>
  <c r="C129" i="41"/>
  <c r="A129" i="41"/>
  <c r="G128" i="41"/>
  <c r="C128" i="41"/>
  <c r="A128" i="41"/>
  <c r="G127" i="41"/>
  <c r="C127" i="41"/>
  <c r="A127" i="41"/>
  <c r="A126" i="41"/>
  <c r="E126" i="41" s="1"/>
  <c r="G125" i="41"/>
  <c r="C125" i="41"/>
  <c r="A125" i="41"/>
  <c r="G124" i="41"/>
  <c r="C124" i="41"/>
  <c r="A124" i="41"/>
  <c r="A123" i="41"/>
  <c r="D124" i="41" s="1"/>
  <c r="G122" i="41"/>
  <c r="C122" i="41"/>
  <c r="A122" i="41"/>
  <c r="D121" i="41" s="1"/>
  <c r="G121" i="41"/>
  <c r="C121" i="41"/>
  <c r="A121" i="41"/>
  <c r="A120" i="41"/>
  <c r="G119" i="41"/>
  <c r="C119" i="41"/>
  <c r="A119" i="41"/>
  <c r="G118" i="41"/>
  <c r="C118" i="41"/>
  <c r="A118" i="41"/>
  <c r="D117" i="41" s="1"/>
  <c r="G117" i="41"/>
  <c r="C117" i="41"/>
  <c r="A117" i="41"/>
  <c r="A116" i="41"/>
  <c r="G115" i="41"/>
  <c r="C115" i="41"/>
  <c r="A115" i="41"/>
  <c r="D114" i="41" s="1"/>
  <c r="G114" i="41"/>
  <c r="C114" i="41"/>
  <c r="A114" i="41"/>
  <c r="A113" i="41"/>
  <c r="G112" i="41"/>
  <c r="G111" i="41"/>
  <c r="G110" i="41"/>
  <c r="D110" i="41"/>
  <c r="E109" i="41"/>
  <c r="G108" i="41"/>
  <c r="C108" i="41"/>
  <c r="A108" i="41"/>
  <c r="G107" i="41"/>
  <c r="C107" i="41"/>
  <c r="A107" i="41"/>
  <c r="G106" i="41"/>
  <c r="C106" i="41"/>
  <c r="A106" i="41"/>
  <c r="G105" i="41"/>
  <c r="C105" i="41"/>
  <c r="A105" i="41"/>
  <c r="E103" i="41" s="1"/>
  <c r="G104" i="41"/>
  <c r="C104" i="41"/>
  <c r="A104" i="41"/>
  <c r="A103" i="41"/>
  <c r="G102" i="41"/>
  <c r="C102" i="41"/>
  <c r="A102" i="41"/>
  <c r="D101" i="41" s="1"/>
  <c r="G101" i="41"/>
  <c r="C101" i="41"/>
  <c r="A101" i="41"/>
  <c r="A100" i="41"/>
  <c r="G99" i="41"/>
  <c r="G98" i="41"/>
  <c r="G97" i="41"/>
  <c r="G96" i="41"/>
  <c r="G95" i="41"/>
  <c r="G94" i="41"/>
  <c r="G93" i="41"/>
  <c r="G92" i="41"/>
  <c r="G91" i="41"/>
  <c r="D91" i="41"/>
  <c r="E90" i="41"/>
  <c r="G89" i="41"/>
  <c r="G88" i="41"/>
  <c r="G87" i="41"/>
  <c r="G86" i="41"/>
  <c r="G85" i="41"/>
  <c r="G84" i="41"/>
  <c r="G83" i="41"/>
  <c r="G82" i="41"/>
  <c r="G81" i="41"/>
  <c r="G80" i="41"/>
  <c r="D80" i="41"/>
  <c r="E79" i="41"/>
  <c r="J75" i="41"/>
  <c r="J74" i="41"/>
  <c r="I74" i="41"/>
  <c r="C74" i="41"/>
  <c r="J72" i="41"/>
  <c r="C72" i="41"/>
  <c r="E70" i="41"/>
  <c r="A64" i="41"/>
  <c r="C60" i="41"/>
  <c r="C59" i="41"/>
  <c r="C58" i="41"/>
  <c r="C55" i="41"/>
  <c r="J49" i="41"/>
  <c r="J47" i="41"/>
  <c r="J45" i="41"/>
  <c r="E44" i="41"/>
  <c r="H35" i="41"/>
  <c r="J35" i="41" s="1"/>
  <c r="H33" i="41"/>
  <c r="J33" i="41" s="1"/>
  <c r="H31" i="41"/>
  <c r="I31" i="41" s="1"/>
  <c r="H30" i="41"/>
  <c r="E30" i="41"/>
  <c r="H25" i="41"/>
  <c r="I25" i="41" s="1"/>
  <c r="H21" i="41"/>
  <c r="J21" i="41" s="1"/>
  <c r="H19" i="41"/>
  <c r="J19" i="41" s="1"/>
  <c r="H14" i="41"/>
  <c r="E14" i="41"/>
  <c r="A12" i="41"/>
  <c r="H11" i="41"/>
  <c r="J5" i="41"/>
  <c r="E105" i="40"/>
  <c r="D105" i="40"/>
  <c r="F105" i="40" s="1"/>
  <c r="E104" i="40"/>
  <c r="D104" i="40"/>
  <c r="F104" i="40" s="1"/>
  <c r="E103" i="40"/>
  <c r="D103" i="40"/>
  <c r="F103" i="40" s="1"/>
  <c r="E102" i="40"/>
  <c r="D102" i="40"/>
  <c r="F102" i="40" s="1"/>
  <c r="E101" i="40"/>
  <c r="D101" i="40"/>
  <c r="F101" i="40" s="1"/>
  <c r="E100" i="40"/>
  <c r="D100" i="40"/>
  <c r="F100" i="40" s="1"/>
  <c r="E99" i="40"/>
  <c r="D99" i="40"/>
  <c r="F99" i="40" s="1"/>
  <c r="E98" i="40"/>
  <c r="D98" i="40"/>
  <c r="E97" i="40"/>
  <c r="D97" i="40"/>
  <c r="E96" i="40"/>
  <c r="D96" i="40"/>
  <c r="E95" i="40"/>
  <c r="D95" i="40"/>
  <c r="E94" i="40"/>
  <c r="D94" i="40"/>
  <c r="E93" i="40"/>
  <c r="D93" i="40"/>
  <c r="E92" i="40"/>
  <c r="D92" i="40"/>
  <c r="E91" i="40"/>
  <c r="D91" i="40"/>
  <c r="E90" i="40"/>
  <c r="D90" i="40"/>
  <c r="E89" i="40"/>
  <c r="D89" i="40"/>
  <c r="E88" i="40"/>
  <c r="D88" i="40"/>
  <c r="E87" i="40"/>
  <c r="D87" i="40"/>
  <c r="E86" i="40"/>
  <c r="D86" i="40"/>
  <c r="E85" i="40"/>
  <c r="D85" i="40"/>
  <c r="E84" i="40"/>
  <c r="D84" i="40"/>
  <c r="E83" i="40"/>
  <c r="D83" i="40"/>
  <c r="E82" i="40"/>
  <c r="D82" i="40"/>
  <c r="E81" i="40"/>
  <c r="D81" i="40"/>
  <c r="E80" i="40"/>
  <c r="D80" i="40"/>
  <c r="E79" i="40"/>
  <c r="D79" i="40"/>
  <c r="E78" i="40"/>
  <c r="D78" i="40"/>
  <c r="E77" i="40"/>
  <c r="D77" i="40"/>
  <c r="E76" i="40"/>
  <c r="D76" i="40"/>
  <c r="E75" i="40"/>
  <c r="D75" i="40"/>
  <c r="E74" i="40"/>
  <c r="D74" i="40"/>
  <c r="E73" i="40"/>
  <c r="D73" i="40"/>
  <c r="E72" i="40"/>
  <c r="D72" i="40"/>
  <c r="E71" i="40"/>
  <c r="D71" i="40"/>
  <c r="E70" i="40"/>
  <c r="D70" i="40"/>
  <c r="E69" i="40"/>
  <c r="D69" i="40"/>
  <c r="E68" i="40"/>
  <c r="D68" i="40"/>
  <c r="E67" i="40"/>
  <c r="D67" i="40"/>
  <c r="E66" i="40"/>
  <c r="D66" i="40"/>
  <c r="E65" i="40"/>
  <c r="D65" i="40"/>
  <c r="E64" i="40"/>
  <c r="D64" i="40"/>
  <c r="E63" i="40"/>
  <c r="D63" i="40"/>
  <c r="E62" i="40"/>
  <c r="D62" i="40"/>
  <c r="E61" i="40"/>
  <c r="D61" i="40"/>
  <c r="E60" i="40"/>
  <c r="D60" i="40"/>
  <c r="E59" i="40"/>
  <c r="D59" i="40"/>
  <c r="E58" i="40"/>
  <c r="D58" i="40"/>
  <c r="E57" i="40"/>
  <c r="D57" i="40"/>
  <c r="E56" i="40"/>
  <c r="D56" i="40"/>
  <c r="E55" i="40"/>
  <c r="D55" i="40"/>
  <c r="E54" i="40"/>
  <c r="D54" i="40"/>
  <c r="E53" i="40"/>
  <c r="D53" i="40"/>
  <c r="E52" i="40"/>
  <c r="D52" i="40"/>
  <c r="E51" i="40"/>
  <c r="D51" i="40"/>
  <c r="E50" i="40"/>
  <c r="D50" i="40"/>
  <c r="E49" i="40"/>
  <c r="D49" i="40"/>
  <c r="E48" i="40"/>
  <c r="D48" i="40"/>
  <c r="E47" i="40"/>
  <c r="D47" i="40"/>
  <c r="E46" i="40"/>
  <c r="D46" i="40"/>
  <c r="E45" i="40"/>
  <c r="D45" i="40"/>
  <c r="E44" i="40"/>
  <c r="D44" i="40"/>
  <c r="E43" i="40"/>
  <c r="D43" i="40"/>
  <c r="E42" i="40"/>
  <c r="D42" i="40"/>
  <c r="E41" i="40"/>
  <c r="D41" i="40"/>
  <c r="E40" i="40"/>
  <c r="D40" i="40"/>
  <c r="E39" i="40"/>
  <c r="D39" i="40"/>
  <c r="E38" i="40"/>
  <c r="D38" i="40"/>
  <c r="E37" i="40"/>
  <c r="D37" i="40"/>
  <c r="E36" i="40"/>
  <c r="D36" i="40"/>
  <c r="E35" i="40"/>
  <c r="D35" i="40"/>
  <c r="E34" i="40"/>
  <c r="D34" i="40"/>
  <c r="E33" i="40"/>
  <c r="D33" i="40"/>
  <c r="E32" i="40"/>
  <c r="D32" i="40"/>
  <c r="E31" i="40"/>
  <c r="D31" i="40"/>
  <c r="E30" i="40"/>
  <c r="D30" i="40"/>
  <c r="E29" i="40"/>
  <c r="D29" i="40"/>
  <c r="E28" i="40"/>
  <c r="D28" i="40"/>
  <c r="E27" i="40"/>
  <c r="D27" i="40"/>
  <c r="E26" i="40"/>
  <c r="D26" i="40"/>
  <c r="E25" i="40"/>
  <c r="D25" i="40"/>
  <c r="E24" i="40"/>
  <c r="D24" i="40"/>
  <c r="E23" i="40"/>
  <c r="D23" i="40"/>
  <c r="E22" i="40"/>
  <c r="D22" i="40"/>
  <c r="E21" i="40"/>
  <c r="D21" i="40"/>
  <c r="E20" i="40"/>
  <c r="D20" i="40"/>
  <c r="E19" i="40"/>
  <c r="D19" i="40"/>
  <c r="E18" i="40"/>
  <c r="D18" i="40"/>
  <c r="E17" i="40"/>
  <c r="D17" i="40"/>
  <c r="E16" i="40"/>
  <c r="D16" i="40"/>
  <c r="E15" i="40"/>
  <c r="D15" i="40"/>
  <c r="E14" i="40"/>
  <c r="D14" i="40"/>
  <c r="E13" i="40"/>
  <c r="D13" i="40"/>
  <c r="E12" i="40"/>
  <c r="D12" i="40"/>
  <c r="E11" i="40"/>
  <c r="D11" i="40"/>
  <c r="E10" i="40"/>
  <c r="D10" i="40"/>
  <c r="E9" i="40"/>
  <c r="D9" i="40"/>
  <c r="E8" i="40"/>
  <c r="D8" i="40"/>
  <c r="E7" i="40"/>
  <c r="D7" i="40"/>
  <c r="E6" i="40"/>
  <c r="D6" i="40"/>
  <c r="E5" i="40"/>
  <c r="D5" i="40"/>
  <c r="E4" i="40"/>
  <c r="D4" i="40"/>
  <c r="E3" i="40"/>
  <c r="D3" i="40"/>
  <c r="E2" i="40"/>
  <c r="D2" i="40"/>
  <c r="J25" i="39"/>
  <c r="J23" i="39"/>
  <c r="I21" i="39"/>
  <c r="J19" i="39"/>
  <c r="J17" i="39"/>
  <c r="H15" i="39"/>
  <c r="J15" i="39" s="1"/>
  <c r="D3" i="38"/>
  <c r="E3" i="38"/>
  <c r="D4" i="38"/>
  <c r="E4" i="38"/>
  <c r="D5" i="38"/>
  <c r="E5" i="38"/>
  <c r="D6" i="38"/>
  <c r="E6" i="38"/>
  <c r="D7" i="38"/>
  <c r="E7" i="38"/>
  <c r="D8" i="38"/>
  <c r="E8" i="38"/>
  <c r="D9" i="38"/>
  <c r="E9" i="38"/>
  <c r="D10" i="38"/>
  <c r="E10" i="38"/>
  <c r="D11" i="38"/>
  <c r="E11" i="38"/>
  <c r="D12" i="38"/>
  <c r="E12" i="38"/>
  <c r="D13" i="38"/>
  <c r="E13" i="38"/>
  <c r="D14" i="38"/>
  <c r="E14" i="38"/>
  <c r="D15" i="38"/>
  <c r="E15" i="38"/>
  <c r="D16" i="38"/>
  <c r="E16" i="38"/>
  <c r="D17" i="38"/>
  <c r="E17" i="38"/>
  <c r="D18" i="38"/>
  <c r="E18" i="38"/>
  <c r="D19" i="38"/>
  <c r="E19" i="38"/>
  <c r="D20" i="38"/>
  <c r="E20" i="38"/>
  <c r="D21" i="38"/>
  <c r="E21" i="38"/>
  <c r="D22" i="38"/>
  <c r="E22" i="38"/>
  <c r="D23" i="38"/>
  <c r="E23" i="38"/>
  <c r="D24" i="38"/>
  <c r="E24" i="38"/>
  <c r="D25" i="38"/>
  <c r="E25" i="38"/>
  <c r="D26" i="38"/>
  <c r="E26" i="38"/>
  <c r="D27" i="38"/>
  <c r="E27" i="38"/>
  <c r="D28" i="38"/>
  <c r="E28" i="38"/>
  <c r="D29" i="38"/>
  <c r="E29" i="38"/>
  <c r="D30" i="38"/>
  <c r="E30" i="38"/>
  <c r="D31" i="38"/>
  <c r="E31" i="38"/>
  <c r="D32" i="38"/>
  <c r="E32" i="38"/>
  <c r="D33" i="38"/>
  <c r="E33" i="38"/>
  <c r="D34" i="38"/>
  <c r="E34" i="38"/>
  <c r="D35" i="38"/>
  <c r="E35" i="38"/>
  <c r="D36" i="38"/>
  <c r="E36" i="38"/>
  <c r="D37" i="38"/>
  <c r="E37" i="38"/>
  <c r="D38" i="38"/>
  <c r="E38" i="38"/>
  <c r="D39" i="38"/>
  <c r="E39" i="38"/>
  <c r="D40" i="38"/>
  <c r="E40" i="38"/>
  <c r="D41" i="38"/>
  <c r="E41" i="38"/>
  <c r="D42" i="38"/>
  <c r="E42" i="38"/>
  <c r="D43" i="38"/>
  <c r="E43" i="38"/>
  <c r="D44" i="38"/>
  <c r="E44" i="38"/>
  <c r="D45" i="38"/>
  <c r="E45" i="38"/>
  <c r="D46" i="38"/>
  <c r="E46" i="38"/>
  <c r="D47" i="38"/>
  <c r="E47" i="38"/>
  <c r="D48" i="38"/>
  <c r="E48" i="38"/>
  <c r="D49" i="38"/>
  <c r="E49" i="38"/>
  <c r="D50" i="38"/>
  <c r="E50" i="38"/>
  <c r="D51" i="38"/>
  <c r="E51" i="38"/>
  <c r="D52" i="38"/>
  <c r="E52" i="38"/>
  <c r="D53" i="38"/>
  <c r="E53" i="38"/>
  <c r="D54" i="38"/>
  <c r="E54" i="38"/>
  <c r="D55" i="38"/>
  <c r="E55" i="38"/>
  <c r="D56" i="38"/>
  <c r="E56" i="38"/>
  <c r="D57" i="38"/>
  <c r="E57" i="38"/>
  <c r="D58" i="38"/>
  <c r="E58" i="38"/>
  <c r="D59" i="38"/>
  <c r="E59" i="38"/>
  <c r="D60" i="38"/>
  <c r="E60" i="38"/>
  <c r="D61" i="38"/>
  <c r="E61" i="38"/>
  <c r="D62" i="38"/>
  <c r="E62" i="38"/>
  <c r="D63" i="38"/>
  <c r="E63" i="38"/>
  <c r="D64" i="38"/>
  <c r="E64" i="38"/>
  <c r="D65" i="38"/>
  <c r="E65" i="38"/>
  <c r="D66" i="38"/>
  <c r="E66" i="38"/>
  <c r="D67" i="38"/>
  <c r="E67" i="38"/>
  <c r="D68" i="38"/>
  <c r="E68" i="38"/>
  <c r="D69" i="38"/>
  <c r="E69" i="38"/>
  <c r="D70" i="38"/>
  <c r="E70" i="38"/>
  <c r="D71" i="38"/>
  <c r="E71" i="38"/>
  <c r="D72" i="38"/>
  <c r="E72" i="38"/>
  <c r="D73" i="38"/>
  <c r="E73" i="38"/>
  <c r="D74" i="38"/>
  <c r="E74" i="38"/>
  <c r="D75" i="38"/>
  <c r="E75" i="38"/>
  <c r="D76" i="38"/>
  <c r="E76" i="38"/>
  <c r="D77" i="38"/>
  <c r="E77" i="38"/>
  <c r="D78" i="38"/>
  <c r="E78" i="38"/>
  <c r="D79" i="38"/>
  <c r="E79" i="38"/>
  <c r="D80" i="38"/>
  <c r="E80" i="38"/>
  <c r="D81" i="38"/>
  <c r="E81" i="38"/>
  <c r="D82" i="38"/>
  <c r="E82" i="38"/>
  <c r="D83" i="38"/>
  <c r="E83" i="38"/>
  <c r="D84" i="38"/>
  <c r="E84" i="38"/>
  <c r="D85" i="38"/>
  <c r="E85" i="38"/>
  <c r="D86" i="38"/>
  <c r="E86" i="38"/>
  <c r="D87" i="38"/>
  <c r="E87" i="38"/>
  <c r="D88" i="38"/>
  <c r="E88" i="38"/>
  <c r="D89" i="38"/>
  <c r="E89" i="38"/>
  <c r="D90" i="38"/>
  <c r="E90" i="38"/>
  <c r="D91" i="38"/>
  <c r="E91" i="38"/>
  <c r="D92" i="38"/>
  <c r="E92" i="38"/>
  <c r="D93" i="38"/>
  <c r="E93" i="38"/>
  <c r="D94" i="38"/>
  <c r="E94" i="38"/>
  <c r="D95" i="38"/>
  <c r="E95" i="38"/>
  <c r="D96" i="38"/>
  <c r="E96" i="38"/>
  <c r="D97" i="38"/>
  <c r="E97" i="38"/>
  <c r="D98" i="38"/>
  <c r="E98" i="38"/>
  <c r="D99" i="38"/>
  <c r="E99" i="38"/>
  <c r="D100" i="38"/>
  <c r="E100" i="38"/>
  <c r="D101" i="38"/>
  <c r="E101" i="38"/>
  <c r="D102" i="38"/>
  <c r="E102" i="38"/>
  <c r="D103" i="38"/>
  <c r="E103" i="38"/>
  <c r="D104" i="38"/>
  <c r="E104" i="38"/>
  <c r="D105" i="38"/>
  <c r="E105" i="38"/>
  <c r="E2" i="38"/>
  <c r="D2" i="38"/>
  <c r="J187" i="39"/>
  <c r="G179" i="39"/>
  <c r="E22" i="5" s="1"/>
  <c r="G175" i="39"/>
  <c r="G173" i="39"/>
  <c r="G162" i="39"/>
  <c r="E21" i="5" s="1"/>
  <c r="G156" i="39"/>
  <c r="G149" i="39"/>
  <c r="C149" i="39"/>
  <c r="A149" i="39"/>
  <c r="G148" i="39"/>
  <c r="C148" i="39"/>
  <c r="A148" i="39"/>
  <c r="E147" i="39" s="1"/>
  <c r="A147" i="39"/>
  <c r="G146" i="39"/>
  <c r="C146" i="39"/>
  <c r="A146" i="39"/>
  <c r="A145" i="39"/>
  <c r="D146" i="39" s="1"/>
  <c r="G144" i="39"/>
  <c r="C144" i="39"/>
  <c r="A144" i="39"/>
  <c r="A143" i="39"/>
  <c r="E143" i="39" s="1"/>
  <c r="J139" i="39"/>
  <c r="J138" i="39"/>
  <c r="C138" i="39"/>
  <c r="J136" i="39"/>
  <c r="C136" i="39"/>
  <c r="E134" i="39"/>
  <c r="J131" i="39"/>
  <c r="G129" i="39"/>
  <c r="C129" i="39"/>
  <c r="A129" i="39"/>
  <c r="G128" i="39"/>
  <c r="C128" i="39"/>
  <c r="A128" i="39"/>
  <c r="G127" i="39"/>
  <c r="C127" i="39"/>
  <c r="A127" i="39"/>
  <c r="A126" i="39"/>
  <c r="D127" i="39" s="1"/>
  <c r="G125" i="39"/>
  <c r="C125" i="39"/>
  <c r="A125" i="39"/>
  <c r="G124" i="39"/>
  <c r="C124" i="39"/>
  <c r="A124" i="39"/>
  <c r="A123" i="39"/>
  <c r="D124" i="39" s="1"/>
  <c r="G122" i="39"/>
  <c r="C122" i="39"/>
  <c r="A122" i="39"/>
  <c r="D121" i="39" s="1"/>
  <c r="G121" i="39"/>
  <c r="C121" i="39"/>
  <c r="A121" i="39"/>
  <c r="A120" i="39"/>
  <c r="G119" i="39"/>
  <c r="C119" i="39"/>
  <c r="A119" i="39"/>
  <c r="G118" i="39"/>
  <c r="C118" i="39"/>
  <c r="A118" i="39"/>
  <c r="D117" i="39" s="1"/>
  <c r="G117" i="39"/>
  <c r="C117" i="39"/>
  <c r="A117" i="39"/>
  <c r="A116" i="39"/>
  <c r="G115" i="39"/>
  <c r="C115" i="39"/>
  <c r="A115" i="39"/>
  <c r="E113" i="39" s="1"/>
  <c r="G114" i="39"/>
  <c r="C114" i="39"/>
  <c r="A114" i="39"/>
  <c r="A113" i="39"/>
  <c r="G112" i="39"/>
  <c r="G111" i="39"/>
  <c r="G110" i="39"/>
  <c r="D110" i="39"/>
  <c r="E109" i="39"/>
  <c r="G108" i="39"/>
  <c r="C108" i="39"/>
  <c r="A108" i="39"/>
  <c r="G107" i="39"/>
  <c r="C107" i="39"/>
  <c r="A107" i="39"/>
  <c r="G106" i="39"/>
  <c r="C106" i="39"/>
  <c r="A106" i="39"/>
  <c r="G105" i="39"/>
  <c r="C105" i="39"/>
  <c r="A105" i="39"/>
  <c r="D104" i="39" s="1"/>
  <c r="G104" i="39"/>
  <c r="C104" i="39"/>
  <c r="A104" i="39"/>
  <c r="A103" i="39"/>
  <c r="G102" i="39"/>
  <c r="C102" i="39"/>
  <c r="A102" i="39"/>
  <c r="D101" i="39" s="1"/>
  <c r="G101" i="39"/>
  <c r="C101" i="39"/>
  <c r="A101" i="39"/>
  <c r="A100" i="39"/>
  <c r="G99" i="39"/>
  <c r="G98" i="39"/>
  <c r="G97" i="39"/>
  <c r="G96" i="39"/>
  <c r="G95" i="39"/>
  <c r="G94" i="39"/>
  <c r="G93" i="39"/>
  <c r="G92" i="39"/>
  <c r="G91" i="39"/>
  <c r="D91" i="39"/>
  <c r="E90" i="39"/>
  <c r="G89" i="39"/>
  <c r="G88" i="39"/>
  <c r="G87" i="39"/>
  <c r="G86" i="39"/>
  <c r="G85" i="39"/>
  <c r="G84" i="39"/>
  <c r="G83" i="39"/>
  <c r="G82" i="39"/>
  <c r="G81" i="39"/>
  <c r="G80" i="39"/>
  <c r="D80" i="39"/>
  <c r="E79" i="39"/>
  <c r="J75" i="39"/>
  <c r="J74" i="39"/>
  <c r="I74" i="39"/>
  <c r="C74" i="39"/>
  <c r="J72" i="39"/>
  <c r="C72" i="39"/>
  <c r="E70" i="39"/>
  <c r="A64" i="39"/>
  <c r="C60" i="39"/>
  <c r="C59" i="39"/>
  <c r="C58" i="39"/>
  <c r="C55" i="39"/>
  <c r="J49" i="39"/>
  <c r="J47" i="39"/>
  <c r="J45" i="39"/>
  <c r="E44" i="39"/>
  <c r="H35" i="39"/>
  <c r="J35" i="39" s="1"/>
  <c r="H33" i="39"/>
  <c r="J33" i="39" s="1"/>
  <c r="H31" i="39"/>
  <c r="J31" i="39" s="1"/>
  <c r="H30" i="39"/>
  <c r="E30" i="39"/>
  <c r="H14" i="39"/>
  <c r="A12" i="39"/>
  <c r="H11" i="39"/>
  <c r="J5" i="39"/>
  <c r="F105" i="38" l="1"/>
  <c r="F103" i="38"/>
  <c r="F101" i="38"/>
  <c r="F99" i="38"/>
  <c r="I33" i="41"/>
  <c r="F100" i="42"/>
  <c r="F102" i="42"/>
  <c r="F104" i="42"/>
  <c r="I33" i="47"/>
  <c r="F104" i="38"/>
  <c r="F102" i="38"/>
  <c r="F100" i="38"/>
  <c r="J31" i="41"/>
  <c r="F99" i="42"/>
  <c r="F101" i="42"/>
  <c r="F103" i="42"/>
  <c r="F105" i="42"/>
  <c r="F45" i="46"/>
  <c r="F99" i="46"/>
  <c r="F105" i="46"/>
  <c r="F10" i="46"/>
  <c r="F101" i="46"/>
  <c r="F74" i="46"/>
  <c r="F36" i="46"/>
  <c r="F102" i="46"/>
  <c r="F31" i="46"/>
  <c r="F37" i="46"/>
  <c r="F49" i="46"/>
  <c r="F103" i="46"/>
  <c r="F100" i="46"/>
  <c r="F104" i="46"/>
  <c r="F29" i="46"/>
  <c r="F41" i="46"/>
  <c r="F56" i="46"/>
  <c r="F46" i="46"/>
  <c r="F64" i="46"/>
  <c r="F91" i="46"/>
  <c r="F12" i="46"/>
  <c r="F18" i="46"/>
  <c r="F50" i="46"/>
  <c r="F29" i="44"/>
  <c r="F34" i="44"/>
  <c r="F53" i="44"/>
  <c r="F59" i="44"/>
  <c r="F65" i="44"/>
  <c r="F71" i="44"/>
  <c r="F16" i="42"/>
  <c r="F10" i="42"/>
  <c r="F33" i="42"/>
  <c r="F98" i="38"/>
  <c r="F39" i="38"/>
  <c r="F21" i="38"/>
  <c r="F15" i="38"/>
  <c r="F33" i="38"/>
  <c r="F16" i="38"/>
  <c r="F4" i="38"/>
  <c r="F3" i="38"/>
  <c r="F93" i="38"/>
  <c r="F63" i="38"/>
  <c r="F12" i="38"/>
  <c r="F6" i="38"/>
  <c r="F87" i="38"/>
  <c r="F57" i="38"/>
  <c r="F45" i="38"/>
  <c r="F9" i="38"/>
  <c r="F75" i="38"/>
  <c r="F51" i="38"/>
  <c r="F27" i="38"/>
  <c r="F48" i="38"/>
  <c r="F30" i="38"/>
  <c r="F72" i="38"/>
  <c r="F42" i="38"/>
  <c r="F18" i="38"/>
  <c r="F54" i="38"/>
  <c r="F36" i="38"/>
  <c r="F24" i="38"/>
  <c r="J21" i="39"/>
  <c r="J38" i="39" s="1"/>
  <c r="E19" i="5" s="1"/>
  <c r="F31" i="38"/>
  <c r="F60" i="38"/>
  <c r="F95" i="38"/>
  <c r="F89" i="38"/>
  <c r="F59" i="38"/>
  <c r="F53" i="38"/>
  <c r="F47" i="38"/>
  <c r="F41" i="38"/>
  <c r="F35" i="38"/>
  <c r="F29" i="38"/>
  <c r="F23" i="38"/>
  <c r="F17" i="38"/>
  <c r="F11" i="38"/>
  <c r="F5" i="38"/>
  <c r="F28" i="38"/>
  <c r="F26" i="40"/>
  <c r="F6" i="40"/>
  <c r="F18" i="40"/>
  <c r="F42" i="40"/>
  <c r="F48" i="40"/>
  <c r="F13" i="40"/>
  <c r="F31" i="40"/>
  <c r="F56" i="40"/>
  <c r="F60" i="40"/>
  <c r="F87" i="40"/>
  <c r="F72" i="40"/>
  <c r="F84" i="40"/>
  <c r="D148" i="39"/>
  <c r="J51" i="47"/>
  <c r="I20" i="5" s="1"/>
  <c r="E143" i="45"/>
  <c r="E100" i="47"/>
  <c r="E116" i="47"/>
  <c r="D127" i="45"/>
  <c r="E123" i="47"/>
  <c r="E120" i="43"/>
  <c r="E120" i="47"/>
  <c r="D104" i="47"/>
  <c r="E120" i="45"/>
  <c r="E100" i="45"/>
  <c r="E116" i="45"/>
  <c r="G152" i="47"/>
  <c r="G158" i="47" s="1"/>
  <c r="E145" i="45"/>
  <c r="D127" i="47"/>
  <c r="F16" i="46"/>
  <c r="F28" i="46"/>
  <c r="F58" i="46"/>
  <c r="F94" i="46"/>
  <c r="F59" i="46"/>
  <c r="F65" i="46"/>
  <c r="F71" i="46"/>
  <c r="F95" i="46"/>
  <c r="F60" i="46"/>
  <c r="F84" i="46"/>
  <c r="F2" i="46"/>
  <c r="F8" i="46"/>
  <c r="F20" i="46"/>
  <c r="F32" i="46"/>
  <c r="F44" i="46"/>
  <c r="F9" i="46"/>
  <c r="F62" i="46"/>
  <c r="F13" i="46"/>
  <c r="F25" i="46"/>
  <c r="F30" i="46"/>
  <c r="F42" i="46"/>
  <c r="F48" i="46"/>
  <c r="F54" i="46"/>
  <c r="F89" i="46"/>
  <c r="F14" i="46"/>
  <c r="F26" i="46"/>
  <c r="F15" i="46"/>
  <c r="F21" i="46"/>
  <c r="F72" i="46"/>
  <c r="F85" i="46"/>
  <c r="F40" i="46"/>
  <c r="F57" i="46"/>
  <c r="F97" i="46"/>
  <c r="J17" i="47"/>
  <c r="F17" i="46"/>
  <c r="F52" i="46"/>
  <c r="F6" i="46"/>
  <c r="F24" i="46"/>
  <c r="F47" i="46"/>
  <c r="F53" i="46"/>
  <c r="F87" i="46"/>
  <c r="F11" i="46"/>
  <c r="F27" i="46"/>
  <c r="F43" i="46"/>
  <c r="F63" i="46"/>
  <c r="F96" i="46"/>
  <c r="F22" i="46"/>
  <c r="F38" i="46"/>
  <c r="F86" i="46"/>
  <c r="F23" i="46"/>
  <c r="F39" i="46"/>
  <c r="F75" i="46"/>
  <c r="F92" i="46"/>
  <c r="F33" i="46"/>
  <c r="F55" i="46"/>
  <c r="F98" i="46"/>
  <c r="F3" i="46"/>
  <c r="H15" i="47" s="1"/>
  <c r="J15" i="47" s="1"/>
  <c r="F19" i="46"/>
  <c r="F34" i="46"/>
  <c r="F51" i="46"/>
  <c r="F93" i="46"/>
  <c r="I19" i="47"/>
  <c r="F61" i="46"/>
  <c r="F4" i="46"/>
  <c r="F5" i="46"/>
  <c r="F73" i="46"/>
  <c r="F90" i="46"/>
  <c r="J25" i="47"/>
  <c r="F74" i="44"/>
  <c r="F27" i="44"/>
  <c r="F39" i="44"/>
  <c r="F51" i="44"/>
  <c r="F57" i="44"/>
  <c r="F75" i="44"/>
  <c r="F17" i="44"/>
  <c r="F24" i="44"/>
  <c r="F37" i="44"/>
  <c r="F13" i="44"/>
  <c r="F19" i="44"/>
  <c r="F60" i="44"/>
  <c r="F72" i="44"/>
  <c r="F2" i="44"/>
  <c r="F8" i="44"/>
  <c r="F25" i="44"/>
  <c r="F55" i="44"/>
  <c r="F44" i="44"/>
  <c r="F56" i="44"/>
  <c r="F16" i="44"/>
  <c r="F45" i="44"/>
  <c r="F5" i="44"/>
  <c r="F11" i="44"/>
  <c r="H17" i="45" s="1"/>
  <c r="J17" i="45" s="1"/>
  <c r="F94" i="44"/>
  <c r="F58" i="42"/>
  <c r="F21" i="42"/>
  <c r="F14" i="42"/>
  <c r="F64" i="42"/>
  <c r="F30" i="42"/>
  <c r="F36" i="42"/>
  <c r="F42" i="42"/>
  <c r="F54" i="42"/>
  <c r="F56" i="42"/>
  <c r="F2" i="40"/>
  <c r="H23" i="41" s="1"/>
  <c r="I23" i="41" s="1"/>
  <c r="F32" i="40"/>
  <c r="F44" i="40"/>
  <c r="F61" i="40"/>
  <c r="F73" i="40"/>
  <c r="F85" i="40"/>
  <c r="F15" i="40"/>
  <c r="F21" i="40"/>
  <c r="F45" i="40"/>
  <c r="F74" i="40"/>
  <c r="F86" i="40"/>
  <c r="F16" i="40"/>
  <c r="F28" i="40"/>
  <c r="F75" i="40"/>
  <c r="F29" i="40"/>
  <c r="F47" i="40"/>
  <c r="F64" i="40"/>
  <c r="F12" i="40"/>
  <c r="F89" i="40"/>
  <c r="F95" i="40"/>
  <c r="F24" i="40"/>
  <c r="F52" i="40"/>
  <c r="F63" i="40"/>
  <c r="F92" i="40"/>
  <c r="F8" i="40"/>
  <c r="F36" i="40"/>
  <c r="F53" i="40"/>
  <c r="F58" i="40"/>
  <c r="F93" i="40"/>
  <c r="F20" i="40"/>
  <c r="F37" i="40"/>
  <c r="J25" i="41"/>
  <c r="F10" i="40"/>
  <c r="F50" i="40"/>
  <c r="F40" i="40"/>
  <c r="F17" i="40"/>
  <c r="F22" i="40"/>
  <c r="F38" i="40"/>
  <c r="F49" i="40"/>
  <c r="F54" i="40"/>
  <c r="F65" i="40"/>
  <c r="F71" i="40"/>
  <c r="F23" i="40"/>
  <c r="F39" i="40"/>
  <c r="F55" i="40"/>
  <c r="F94" i="40"/>
  <c r="F33" i="40"/>
  <c r="F3" i="40"/>
  <c r="F19" i="40"/>
  <c r="F34" i="40"/>
  <c r="F51" i="40"/>
  <c r="F90" i="40"/>
  <c r="F4" i="40"/>
  <c r="F9" i="40"/>
  <c r="F14" i="40"/>
  <c r="F25" i="40"/>
  <c r="F30" i="40"/>
  <c r="F41" i="40"/>
  <c r="F46" i="40"/>
  <c r="F57" i="40"/>
  <c r="F62" i="40"/>
  <c r="F96" i="40"/>
  <c r="F5" i="40"/>
  <c r="H17" i="41" s="1"/>
  <c r="I17" i="41" s="1"/>
  <c r="F91" i="40"/>
  <c r="F97" i="40"/>
  <c r="F11" i="40"/>
  <c r="F27" i="40"/>
  <c r="F43" i="40"/>
  <c r="F59" i="40"/>
  <c r="F98" i="40"/>
  <c r="F96" i="38"/>
  <c r="F64" i="38"/>
  <c r="F58" i="38"/>
  <c r="F52" i="38"/>
  <c r="F46" i="38"/>
  <c r="F40" i="38"/>
  <c r="F22" i="38"/>
  <c r="F10" i="38"/>
  <c r="F84" i="38"/>
  <c r="F61" i="38"/>
  <c r="F55" i="38"/>
  <c r="F49" i="38"/>
  <c r="F43" i="38"/>
  <c r="F37" i="38"/>
  <c r="F25" i="38"/>
  <c r="F19" i="38"/>
  <c r="F13" i="38"/>
  <c r="F71" i="38"/>
  <c r="F65" i="38"/>
  <c r="F90" i="38"/>
  <c r="F92" i="38"/>
  <c r="F86" i="38"/>
  <c r="F74" i="38"/>
  <c r="F62" i="38"/>
  <c r="F56" i="38"/>
  <c r="F50" i="38"/>
  <c r="F44" i="38"/>
  <c r="F38" i="38"/>
  <c r="F32" i="38"/>
  <c r="F26" i="38"/>
  <c r="F20" i="38"/>
  <c r="F14" i="38"/>
  <c r="F91" i="38"/>
  <c r="F8" i="38"/>
  <c r="F97" i="38"/>
  <c r="F85" i="38"/>
  <c r="F73" i="38"/>
  <c r="G152" i="45"/>
  <c r="G158" i="45" s="1"/>
  <c r="E100" i="43"/>
  <c r="E116" i="43"/>
  <c r="I23" i="47"/>
  <c r="F35" i="46"/>
  <c r="E145" i="47"/>
  <c r="E113" i="45"/>
  <c r="I35" i="47"/>
  <c r="D104" i="41"/>
  <c r="E103" i="39"/>
  <c r="J51" i="45"/>
  <c r="H20" i="5" s="1"/>
  <c r="E123" i="45"/>
  <c r="E113" i="47"/>
  <c r="E143" i="47"/>
  <c r="E147" i="47"/>
  <c r="I31" i="47"/>
  <c r="I21" i="47"/>
  <c r="F95" i="44"/>
  <c r="F36" i="44"/>
  <c r="F48" i="44"/>
  <c r="F54" i="44"/>
  <c r="F20" i="44"/>
  <c r="F10" i="44"/>
  <c r="F15" i="44"/>
  <c r="F32" i="44"/>
  <c r="F43" i="44"/>
  <c r="F21" i="44"/>
  <c r="F38" i="44"/>
  <c r="F49" i="44"/>
  <c r="F89" i="44"/>
  <c r="F6" i="44"/>
  <c r="F28" i="44"/>
  <c r="F61" i="44"/>
  <c r="F73" i="44"/>
  <c r="F91" i="44"/>
  <c r="F23" i="44"/>
  <c r="F12" i="44"/>
  <c r="F18" i="44"/>
  <c r="F41" i="44"/>
  <c r="F52" i="44"/>
  <c r="F63" i="44"/>
  <c r="F30" i="44"/>
  <c r="F35" i="44"/>
  <c r="F47" i="44"/>
  <c r="F98" i="44"/>
  <c r="F3" i="44"/>
  <c r="H15" i="45" s="1"/>
  <c r="J15" i="45" s="1"/>
  <c r="F9" i="44"/>
  <c r="F31" i="44"/>
  <c r="F64" i="44"/>
  <c r="F87" i="44"/>
  <c r="F33" i="44"/>
  <c r="F93" i="44"/>
  <c r="F4" i="44"/>
  <c r="F26" i="44"/>
  <c r="F62" i="44"/>
  <c r="J19" i="45"/>
  <c r="F22" i="44"/>
  <c r="F84" i="44"/>
  <c r="F14" i="44"/>
  <c r="F85" i="44"/>
  <c r="F90" i="44"/>
  <c r="J23" i="45"/>
  <c r="F50" i="44"/>
  <c r="F86" i="44"/>
  <c r="F96" i="44"/>
  <c r="I25" i="45"/>
  <c r="F42" i="44"/>
  <c r="F92" i="44"/>
  <c r="F97" i="44"/>
  <c r="D104" i="43"/>
  <c r="D104" i="45"/>
  <c r="I35" i="45"/>
  <c r="G152" i="43"/>
  <c r="G158" i="43" s="1"/>
  <c r="D127" i="43"/>
  <c r="E147" i="45"/>
  <c r="D127" i="41"/>
  <c r="J51" i="43"/>
  <c r="G20" i="5" s="1"/>
  <c r="E123" i="43"/>
  <c r="I21" i="45"/>
  <c r="E126" i="39"/>
  <c r="F50" i="42"/>
  <c r="F61" i="42"/>
  <c r="F48" i="42"/>
  <c r="F51" i="42"/>
  <c r="J25" i="43"/>
  <c r="F52" i="42"/>
  <c r="F53" i="42"/>
  <c r="F71" i="42"/>
  <c r="F95" i="42"/>
  <c r="F18" i="42"/>
  <c r="F72" i="42"/>
  <c r="F3" i="42"/>
  <c r="H15" i="43" s="1"/>
  <c r="J15" i="43" s="1"/>
  <c r="F44" i="42"/>
  <c r="F73" i="42"/>
  <c r="F85" i="42"/>
  <c r="F91" i="42"/>
  <c r="F62" i="42"/>
  <c r="F22" i="42"/>
  <c r="F28" i="42"/>
  <c r="F40" i="42"/>
  <c r="F46" i="42"/>
  <c r="F6" i="42"/>
  <c r="H19" i="43" s="1"/>
  <c r="I19" i="43" s="1"/>
  <c r="F41" i="42"/>
  <c r="F94" i="42"/>
  <c r="F8" i="42"/>
  <c r="F19" i="42"/>
  <c r="F31" i="42"/>
  <c r="F9" i="42"/>
  <c r="F20" i="42"/>
  <c r="F26" i="42"/>
  <c r="F98" i="42"/>
  <c r="F5" i="42"/>
  <c r="F27" i="42"/>
  <c r="F32" i="42"/>
  <c r="F38" i="42"/>
  <c r="F43" i="42"/>
  <c r="F49" i="42"/>
  <c r="F12" i="42"/>
  <c r="F17" i="42"/>
  <c r="F60" i="42"/>
  <c r="F2" i="42"/>
  <c r="F24" i="42"/>
  <c r="F90" i="42"/>
  <c r="J17" i="43"/>
  <c r="F65" i="42"/>
  <c r="F13" i="42"/>
  <c r="F23" i="42"/>
  <c r="F37" i="42"/>
  <c r="F89" i="42"/>
  <c r="F4" i="42"/>
  <c r="F47" i="42"/>
  <c r="F84" i="42"/>
  <c r="F57" i="42"/>
  <c r="F15" i="42"/>
  <c r="F29" i="42"/>
  <c r="F39" i="42"/>
  <c r="F96" i="42"/>
  <c r="F63" i="42"/>
  <c r="F74" i="42"/>
  <c r="F11" i="42"/>
  <c r="F25" i="42"/>
  <c r="F34" i="42"/>
  <c r="F86" i="42"/>
  <c r="F97" i="42"/>
  <c r="F59" i="42"/>
  <c r="F75" i="42"/>
  <c r="F92" i="42"/>
  <c r="F45" i="42"/>
  <c r="F55" i="42"/>
  <c r="F87" i="42"/>
  <c r="F93" i="42"/>
  <c r="I23" i="43"/>
  <c r="F35" i="42"/>
  <c r="E145" i="43"/>
  <c r="D144" i="39"/>
  <c r="E100" i="41"/>
  <c r="E120" i="41"/>
  <c r="I35" i="43"/>
  <c r="E116" i="41"/>
  <c r="G152" i="41"/>
  <c r="G158" i="41" s="1"/>
  <c r="E113" i="43"/>
  <c r="E143" i="43"/>
  <c r="E147" i="43"/>
  <c r="I31" i="43"/>
  <c r="I21" i="43"/>
  <c r="D114" i="39"/>
  <c r="J51" i="41"/>
  <c r="F20" i="5" s="1"/>
  <c r="E145" i="39"/>
  <c r="F35" i="40"/>
  <c r="E123" i="41"/>
  <c r="E145" i="41"/>
  <c r="E123" i="39"/>
  <c r="I35" i="41"/>
  <c r="G152" i="39"/>
  <c r="G158" i="39" s="1"/>
  <c r="E116" i="39"/>
  <c r="E120" i="39"/>
  <c r="I19" i="41"/>
  <c r="E113" i="41"/>
  <c r="E143" i="41"/>
  <c r="E147" i="41"/>
  <c r="I21" i="41"/>
  <c r="J51" i="39"/>
  <c r="E20" i="5" s="1"/>
  <c r="I25" i="39"/>
  <c r="I19" i="39"/>
  <c r="I17" i="39"/>
  <c r="F34" i="38"/>
  <c r="F94" i="38"/>
  <c r="F2" i="38"/>
  <c r="I33" i="39"/>
  <c r="E100" i="39"/>
  <c r="I15" i="39"/>
  <c r="I23" i="39"/>
  <c r="I35" i="39"/>
  <c r="I31" i="39"/>
  <c r="I138" i="1"/>
  <c r="I74" i="1"/>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62" i="32"/>
  <c r="E63" i="32"/>
  <c r="E64" i="32"/>
  <c r="E65" i="32"/>
  <c r="E66" i="32"/>
  <c r="E67" i="32"/>
  <c r="E68" i="32"/>
  <c r="E69" i="32"/>
  <c r="E70" i="32"/>
  <c r="E71" i="32"/>
  <c r="E72" i="32"/>
  <c r="E73" i="32"/>
  <c r="E74" i="32"/>
  <c r="E75" i="32"/>
  <c r="E76" i="32"/>
  <c r="E77" i="32"/>
  <c r="E78" i="32"/>
  <c r="E79" i="32"/>
  <c r="E80" i="32"/>
  <c r="E81" i="32"/>
  <c r="E82" i="32"/>
  <c r="E83" i="32"/>
  <c r="E84" i="32"/>
  <c r="E85" i="32"/>
  <c r="E86" i="32"/>
  <c r="E87" i="32"/>
  <c r="E88" i="32"/>
  <c r="E89" i="32"/>
  <c r="E90" i="32"/>
  <c r="E91" i="32"/>
  <c r="E92" i="32"/>
  <c r="E93" i="32"/>
  <c r="E94" i="32"/>
  <c r="E95" i="32"/>
  <c r="E96" i="32"/>
  <c r="E97" i="32"/>
  <c r="E98" i="32"/>
  <c r="E2" i="32"/>
  <c r="E3" i="32"/>
  <c r="E4" i="32"/>
  <c r="E5" i="32"/>
  <c r="D91" i="32"/>
  <c r="D92" i="32"/>
  <c r="D93" i="32"/>
  <c r="D94" i="32"/>
  <c r="D95" i="32"/>
  <c r="D96" i="32"/>
  <c r="D97" i="32"/>
  <c r="D98" i="32"/>
  <c r="D2" i="32"/>
  <c r="D3" i="32"/>
  <c r="D4" i="32"/>
  <c r="D5" i="32"/>
  <c r="D6" i="32"/>
  <c r="D7" i="32"/>
  <c r="D8" i="32"/>
  <c r="D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H19" i="1" l="1"/>
  <c r="J38" i="47"/>
  <c r="I19" i="5" s="1"/>
  <c r="J19" i="43"/>
  <c r="J38" i="43" s="1"/>
  <c r="G19" i="5" s="1"/>
  <c r="H15" i="41"/>
  <c r="J15" i="41" s="1"/>
  <c r="J23" i="41"/>
  <c r="J17" i="41"/>
  <c r="I15" i="47"/>
  <c r="I17" i="45"/>
  <c r="I15" i="45"/>
  <c r="J38" i="45"/>
  <c r="H19" i="5" s="1"/>
  <c r="I15" i="43"/>
  <c r="I15" i="41" l="1"/>
  <c r="J38" i="41"/>
  <c r="F19" i="5" s="1"/>
  <c r="F18" i="32"/>
  <c r="F46" i="32"/>
  <c r="F55" i="32"/>
  <c r="F41" i="32"/>
  <c r="F25" i="32"/>
  <c r="F8" i="32"/>
  <c r="F84" i="32" l="1"/>
  <c r="F98" i="32" l="1"/>
  <c r="F97" i="32"/>
  <c r="F96" i="32"/>
  <c r="F95" i="32"/>
  <c r="F94" i="32"/>
  <c r="F93" i="32"/>
  <c r="F92" i="32"/>
  <c r="F91" i="32"/>
  <c r="F90" i="32"/>
  <c r="F89" i="32"/>
  <c r="C55" i="1"/>
  <c r="F87" i="32"/>
  <c r="F86" i="32"/>
  <c r="F85" i="32"/>
  <c r="F75" i="32"/>
  <c r="F74" i="32"/>
  <c r="F73" i="32"/>
  <c r="F72" i="32"/>
  <c r="F71" i="32"/>
  <c r="F65" i="32"/>
  <c r="F64" i="32"/>
  <c r="F63" i="32"/>
  <c r="F62" i="32"/>
  <c r="F61" i="32"/>
  <c r="F60" i="32"/>
  <c r="F59" i="32"/>
  <c r="F58" i="32"/>
  <c r="F57" i="32"/>
  <c r="F56" i="32"/>
  <c r="F50" i="32"/>
  <c r="F49" i="32"/>
  <c r="F48" i="32"/>
  <c r="F47" i="32"/>
  <c r="F45" i="32"/>
  <c r="F44" i="32"/>
  <c r="F43" i="32"/>
  <c r="F42" i="32"/>
  <c r="F34" i="32"/>
  <c r="F12" i="32"/>
  <c r="F11" i="32"/>
  <c r="F10" i="32"/>
  <c r="F9" i="32"/>
  <c r="F17" i="32"/>
  <c r="F16" i="32"/>
  <c r="F15" i="32"/>
  <c r="F14" i="32"/>
  <c r="F13" i="32"/>
  <c r="F19" i="32"/>
  <c r="F20" i="32"/>
  <c r="F21" i="32"/>
  <c r="F22" i="32"/>
  <c r="F23" i="32"/>
  <c r="F24" i="32"/>
  <c r="F26" i="32"/>
  <c r="F27" i="32"/>
  <c r="F28" i="32"/>
  <c r="F29" i="32"/>
  <c r="F30" i="32"/>
  <c r="F31" i="32"/>
  <c r="F32" i="32"/>
  <c r="F54" i="32"/>
  <c r="F51" i="32"/>
  <c r="F52" i="32"/>
  <c r="F53" i="32"/>
  <c r="F40" i="32"/>
  <c r="F39" i="32"/>
  <c r="F38" i="32"/>
  <c r="F6" i="32"/>
  <c r="F4" i="32"/>
  <c r="F3" i="32"/>
  <c r="F2" i="32"/>
  <c r="H23" i="1" l="1"/>
  <c r="I23" i="1" s="1"/>
  <c r="H21" i="1"/>
  <c r="H25" i="1"/>
  <c r="I25" i="1" s="1"/>
  <c r="H17" i="1"/>
  <c r="I17" i="1" s="1"/>
  <c r="H31" i="1"/>
  <c r="I21" i="1" l="1"/>
  <c r="J21" i="1"/>
  <c r="J23" i="1"/>
  <c r="J31" i="1"/>
  <c r="I31" i="1"/>
  <c r="J25" i="1"/>
  <c r="J17" i="1"/>
  <c r="H15" i="1"/>
  <c r="I15" i="1" s="1"/>
  <c r="F37" i="32"/>
  <c r="F36" i="32"/>
  <c r="F35" i="32"/>
  <c r="F33" i="32"/>
  <c r="J15" i="1" l="1"/>
  <c r="C58" i="1"/>
  <c r="H35" i="1" l="1"/>
  <c r="H33" i="1"/>
  <c r="J33" i="1" l="1"/>
  <c r="I33" i="1"/>
  <c r="J35" i="1"/>
  <c r="I35" i="1"/>
  <c r="A12" i="1"/>
  <c r="C60" i="1" l="1"/>
  <c r="H11" i="1" l="1"/>
  <c r="J43" i="5" l="1"/>
  <c r="J131" i="1"/>
  <c r="J187" i="1"/>
  <c r="I17" i="5" l="1"/>
  <c r="H17" i="5"/>
  <c r="G17" i="5"/>
  <c r="F17" i="5"/>
  <c r="A64" i="1"/>
  <c r="J49" i="1" l="1"/>
  <c r="C59" i="1" l="1"/>
  <c r="I24" i="5" l="1"/>
  <c r="I26" i="5" s="1"/>
  <c r="H24" i="5"/>
  <c r="G24" i="5"/>
  <c r="F24" i="5"/>
  <c r="J23" i="5"/>
  <c r="J16" i="5"/>
  <c r="J15" i="5"/>
  <c r="H26" i="5"/>
  <c r="E17" i="5"/>
  <c r="D17" i="5"/>
  <c r="I7" i="5"/>
  <c r="G7" i="5"/>
  <c r="F7" i="5"/>
  <c r="E7" i="5"/>
  <c r="D7" i="5"/>
  <c r="C7" i="5"/>
  <c r="I5" i="5"/>
  <c r="C5" i="5"/>
  <c r="F3" i="5"/>
  <c r="G26" i="5" l="1"/>
  <c r="F26" i="5"/>
  <c r="J17" i="5"/>
  <c r="E134" i="1"/>
  <c r="E24" i="5" l="1"/>
  <c r="E26" i="5" s="1"/>
  <c r="G175" i="1"/>
  <c r="G179" i="1" s="1"/>
  <c r="D22" i="5" s="1"/>
  <c r="G173" i="1"/>
  <c r="G156" i="1"/>
  <c r="G144" i="1"/>
  <c r="G129" i="1"/>
  <c r="G128" i="1"/>
  <c r="G127" i="1"/>
  <c r="G125" i="1"/>
  <c r="G124" i="1"/>
  <c r="G122" i="1"/>
  <c r="G121" i="1"/>
  <c r="G119" i="1"/>
  <c r="G118" i="1"/>
  <c r="G117" i="1"/>
  <c r="G115" i="1"/>
  <c r="G114" i="1"/>
  <c r="G112" i="1"/>
  <c r="G111" i="1"/>
  <c r="G110" i="1"/>
  <c r="G108" i="1"/>
  <c r="G107" i="1"/>
  <c r="G106" i="1"/>
  <c r="G105" i="1"/>
  <c r="G104" i="1"/>
  <c r="G102" i="1"/>
  <c r="G101" i="1"/>
  <c r="G99" i="1"/>
  <c r="G98" i="1"/>
  <c r="G97" i="1"/>
  <c r="G96" i="1"/>
  <c r="G95" i="1"/>
  <c r="G94" i="1"/>
  <c r="G93" i="1"/>
  <c r="G92" i="1"/>
  <c r="G91" i="1"/>
  <c r="G89" i="1"/>
  <c r="G88" i="1"/>
  <c r="G87" i="1"/>
  <c r="G86" i="1"/>
  <c r="G85" i="1"/>
  <c r="G84" i="1"/>
  <c r="G83" i="1"/>
  <c r="G82" i="1"/>
  <c r="G81" i="1"/>
  <c r="J138" i="1" l="1"/>
  <c r="C138" i="1"/>
  <c r="C136" i="1"/>
  <c r="J139" i="1"/>
  <c r="J136" i="1"/>
  <c r="C115" i="1" l="1"/>
  <c r="C114" i="1"/>
  <c r="A113" i="1"/>
  <c r="C107" i="1"/>
  <c r="C106" i="1"/>
  <c r="C105" i="1"/>
  <c r="C104" i="1"/>
  <c r="A103" i="1"/>
  <c r="C102" i="1"/>
  <c r="C101" i="1"/>
  <c r="C149" i="1"/>
  <c r="A149" i="1"/>
  <c r="C148" i="1"/>
  <c r="A148" i="1"/>
  <c r="D148" i="1" s="1"/>
  <c r="A147" i="1"/>
  <c r="G149" i="1" l="1"/>
  <c r="G148" i="1"/>
  <c r="E147" i="1"/>
  <c r="A145" i="1"/>
  <c r="E145" i="1" s="1"/>
  <c r="C146" i="1"/>
  <c r="A146" i="1"/>
  <c r="C144" i="1"/>
  <c r="A144" i="1"/>
  <c r="A143" i="1"/>
  <c r="E143" i="1" s="1"/>
  <c r="A126" i="1"/>
  <c r="D127" i="1" s="1"/>
  <c r="C129" i="1"/>
  <c r="A129" i="1"/>
  <c r="C128" i="1"/>
  <c r="A128" i="1"/>
  <c r="C127" i="1"/>
  <c r="A127" i="1"/>
  <c r="A124" i="1"/>
  <c r="A125" i="1"/>
  <c r="C125" i="1"/>
  <c r="D146" i="1" l="1"/>
  <c r="G146" i="1" s="1"/>
  <c r="D144" i="1"/>
  <c r="E126" i="1"/>
  <c r="C124" i="1"/>
  <c r="A123" i="1"/>
  <c r="E123" i="1" s="1"/>
  <c r="A120" i="1"/>
  <c r="A121" i="1"/>
  <c r="C121" i="1"/>
  <c r="A122" i="1"/>
  <c r="E120" i="1" s="1"/>
  <c r="C122" i="1"/>
  <c r="D124" i="1" l="1"/>
  <c r="D121" i="1"/>
  <c r="D80" i="1"/>
  <c r="G80" i="1" l="1"/>
  <c r="A116" i="1"/>
  <c r="C119" i="1"/>
  <c r="A119" i="1"/>
  <c r="C118" i="1"/>
  <c r="C117" i="1"/>
  <c r="A118" i="1"/>
  <c r="E116" i="1" s="1"/>
  <c r="A117" i="1"/>
  <c r="D117" i="1" l="1"/>
  <c r="A115" i="1"/>
  <c r="E113" i="1" s="1"/>
  <c r="A114" i="1"/>
  <c r="E90" i="1"/>
  <c r="D110" i="1"/>
  <c r="E109" i="1"/>
  <c r="C108" i="1"/>
  <c r="A108" i="1"/>
  <c r="A107" i="1"/>
  <c r="A106" i="1"/>
  <c r="A105" i="1"/>
  <c r="D104" i="1" s="1"/>
  <c r="A104" i="1"/>
  <c r="D91" i="1"/>
  <c r="E79" i="1"/>
  <c r="A100" i="1"/>
  <c r="A101" i="1"/>
  <c r="A102" i="1"/>
  <c r="J75" i="1"/>
  <c r="J74" i="1"/>
  <c r="C74" i="1"/>
  <c r="C72" i="1"/>
  <c r="E70" i="1"/>
  <c r="J72" i="1"/>
  <c r="E103" i="1" l="1"/>
  <c r="D114" i="1"/>
  <c r="D101" i="1"/>
  <c r="E100" i="1"/>
  <c r="J45" i="1"/>
  <c r="J47" i="1"/>
  <c r="J51" i="1" l="1"/>
  <c r="G152" i="1"/>
  <c r="H30" i="1"/>
  <c r="G162" i="1" l="1"/>
  <c r="D21" i="5" s="1"/>
  <c r="G158" i="1"/>
  <c r="E44" i="1"/>
  <c r="J22" i="5" l="1"/>
  <c r="J21" i="5"/>
  <c r="D20" i="5"/>
  <c r="J20" i="5" s="1"/>
  <c r="J5" i="1" l="1"/>
  <c r="F5" i="32" l="1"/>
  <c r="I19" i="1" l="1"/>
  <c r="J19" i="1" l="1"/>
  <c r="J38" i="1" s="1"/>
  <c r="D19" i="5" s="1"/>
  <c r="J19" i="5" l="1"/>
  <c r="J24" i="5" s="1"/>
  <c r="J26" i="5" s="1"/>
  <c r="D24" i="5"/>
  <c r="D2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1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100-000002000000}">
      <text>
        <r>
          <rPr>
            <sz val="9"/>
            <color indexed="81"/>
            <rFont val="Tahoma"/>
            <family val="2"/>
          </rPr>
          <t xml:space="preserve">If your Q_Ton unit price is not appearing, check the line item in the "inputSchA" tab to review further instructions.  </t>
        </r>
      </text>
    </comment>
    <comment ref="I14" authorId="2" shapeId="0" xr:uid="{00000000-0006-0000-0100-000003000000}">
      <text>
        <r>
          <rPr>
            <b/>
            <sz val="9"/>
            <color indexed="81"/>
            <rFont val="Tahoma"/>
            <charset val="1"/>
          </rPr>
          <t>Take a note of this and use in EEBACS</t>
        </r>
        <r>
          <rPr>
            <sz val="9"/>
            <color indexed="81"/>
            <rFont val="Tahoma"/>
            <charset val="1"/>
          </rPr>
          <t xml:space="preserve">
</t>
        </r>
      </text>
    </comment>
    <comment ref="G154" authorId="3" shapeId="0" xr:uid="{00000000-0006-0000-01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1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1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100-000007000000}">
      <text>
        <r>
          <rPr>
            <b/>
            <sz val="9"/>
            <color indexed="81"/>
            <rFont val="Tahoma"/>
            <family val="2"/>
          </rPr>
          <t>Hirsbrunner, Heidi (FHWA):</t>
        </r>
        <r>
          <rPr>
            <sz val="9"/>
            <color indexed="81"/>
            <rFont val="Tahoma"/>
            <family val="2"/>
          </rPr>
          <t xml:space="preserve">
(1.60-1.10)(BPI)[Sum(Q)(FUF)]</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A00-000001000000}">
      <text>
        <r>
          <rPr>
            <sz val="9"/>
            <color indexed="81"/>
            <rFont val="Tahoma"/>
            <family val="2"/>
          </rPr>
          <t>copy the formula from any other sqyd item below if it matches your depth, or contact Y.Kirtley</t>
        </r>
      </text>
    </comment>
    <comment ref="F66" authorId="0" shapeId="0" xr:uid="{00000000-0006-0000-0A00-000002000000}">
      <text>
        <r>
          <rPr>
            <sz val="9"/>
            <color indexed="81"/>
            <rFont val="Tahoma"/>
            <family val="2"/>
          </rPr>
          <t>copy the formula from any other sqyd item below if it matches your depth, or contact PDMA</t>
        </r>
      </text>
    </comment>
    <comment ref="F67" authorId="0" shapeId="0" xr:uid="{00000000-0006-0000-0A00-000003000000}">
      <text>
        <r>
          <rPr>
            <b/>
            <sz val="9"/>
            <color indexed="81"/>
            <rFont val="Tahoma"/>
            <family val="2"/>
          </rPr>
          <t xml:space="preserve"> </t>
        </r>
        <r>
          <rPr>
            <sz val="9"/>
            <color indexed="81"/>
            <rFont val="Tahoma"/>
            <family val="2"/>
          </rPr>
          <t>same as above</t>
        </r>
      </text>
    </comment>
    <comment ref="F68" authorId="0" shapeId="0" xr:uid="{00000000-0006-0000-0A00-000004000000}">
      <text>
        <r>
          <rPr>
            <sz val="9"/>
            <color indexed="81"/>
            <rFont val="Tahoma"/>
            <family val="2"/>
          </rPr>
          <t>same as above</t>
        </r>
      </text>
    </comment>
    <comment ref="F69" authorId="0" shapeId="0" xr:uid="{00000000-0006-0000-0A00-000005000000}">
      <text>
        <r>
          <rPr>
            <sz val="9"/>
            <color indexed="81"/>
            <rFont val="Tahoma"/>
            <family val="2"/>
          </rPr>
          <t>same as above</t>
        </r>
      </text>
    </comment>
    <comment ref="F70" authorId="0" shapeId="0" xr:uid="{00000000-0006-0000-0A00-000006000000}">
      <text>
        <r>
          <rPr>
            <sz val="9"/>
            <color indexed="81"/>
            <rFont val="Tahoma"/>
            <family val="2"/>
          </rPr>
          <t xml:space="preserve">same as above
</t>
        </r>
      </text>
    </comment>
    <comment ref="F76" authorId="0" shapeId="0" xr:uid="{00000000-0006-0000-0A00-000007000000}">
      <text>
        <r>
          <rPr>
            <sz val="9"/>
            <color indexed="81"/>
            <rFont val="Tahoma"/>
            <family val="2"/>
          </rPr>
          <t xml:space="preserve">contact PDMA for formula- it will depend on your width and depth - same comment for the next 3 lines
</t>
        </r>
      </text>
    </comment>
    <comment ref="F80" authorId="0" shapeId="0" xr:uid="{00000000-0006-0000-0A00-000008000000}">
      <text>
        <r>
          <rPr>
            <sz val="9"/>
            <color indexed="81"/>
            <rFont val="Tahoma"/>
            <family val="2"/>
          </rPr>
          <t xml:space="preserve">copy the formula from any other sqyd item below if it matches your depth, or contact PDMA, same comment for the next 3 lines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B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B00-000002000000}">
      <text>
        <r>
          <rPr>
            <sz val="9"/>
            <color indexed="81"/>
            <rFont val="Tahoma"/>
            <family val="2"/>
          </rPr>
          <t xml:space="preserve">If your Q_Ton unit price is not appearing, check the line item in the "inputSchF" tab to review further instructions.  </t>
        </r>
      </text>
    </comment>
    <comment ref="I14" authorId="2" shapeId="0" xr:uid="{00000000-0006-0000-0B00-000003000000}">
      <text>
        <r>
          <rPr>
            <b/>
            <sz val="9"/>
            <color indexed="81"/>
            <rFont val="Tahoma"/>
            <charset val="1"/>
          </rPr>
          <t>Take a note of this and use in EEBACS</t>
        </r>
        <r>
          <rPr>
            <sz val="9"/>
            <color indexed="81"/>
            <rFont val="Tahoma"/>
            <charset val="1"/>
          </rPr>
          <t xml:space="preserve">
</t>
        </r>
      </text>
    </comment>
    <comment ref="G154" authorId="3" shapeId="0" xr:uid="{00000000-0006-0000-0B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B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B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B00-000007000000}">
      <text>
        <r>
          <rPr>
            <b/>
            <sz val="9"/>
            <color indexed="81"/>
            <rFont val="Tahoma"/>
            <family val="2"/>
          </rPr>
          <t>Hirsbrunner, Heidi (FHWA):</t>
        </r>
        <r>
          <rPr>
            <sz val="9"/>
            <color indexed="81"/>
            <rFont val="Tahoma"/>
            <family val="2"/>
          </rPr>
          <t xml:space="preserve">
(1.60-1.10)(BPI)[Sum(Q)(FUF)]</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C00-000001000000}">
      <text>
        <r>
          <rPr>
            <sz val="9"/>
            <color indexed="81"/>
            <rFont val="Tahoma"/>
            <family val="2"/>
          </rPr>
          <t>copy the formula from any other sqyd item below if it matches your depth, or contact PDMA</t>
        </r>
      </text>
    </comment>
    <comment ref="F66" authorId="0" shapeId="0" xr:uid="{00000000-0006-0000-0C00-000002000000}">
      <text>
        <r>
          <rPr>
            <sz val="9"/>
            <color indexed="81"/>
            <rFont val="Tahoma"/>
            <family val="2"/>
          </rPr>
          <t>copy the formula from any other sqyd item below if it matches your depth, or contact PDMA</t>
        </r>
      </text>
    </comment>
    <comment ref="F67" authorId="0" shapeId="0" xr:uid="{00000000-0006-0000-0C00-000003000000}">
      <text>
        <r>
          <rPr>
            <b/>
            <sz val="9"/>
            <color indexed="81"/>
            <rFont val="Tahoma"/>
            <family val="2"/>
          </rPr>
          <t xml:space="preserve"> </t>
        </r>
        <r>
          <rPr>
            <sz val="9"/>
            <color indexed="81"/>
            <rFont val="Tahoma"/>
            <family val="2"/>
          </rPr>
          <t>same as above</t>
        </r>
      </text>
    </comment>
    <comment ref="F68" authorId="0" shapeId="0" xr:uid="{00000000-0006-0000-0C00-000004000000}">
      <text>
        <r>
          <rPr>
            <sz val="9"/>
            <color indexed="81"/>
            <rFont val="Tahoma"/>
            <family val="2"/>
          </rPr>
          <t>same as above</t>
        </r>
      </text>
    </comment>
    <comment ref="F69" authorId="0" shapeId="0" xr:uid="{00000000-0006-0000-0C00-000005000000}">
      <text>
        <r>
          <rPr>
            <sz val="9"/>
            <color indexed="81"/>
            <rFont val="Tahoma"/>
            <family val="2"/>
          </rPr>
          <t>same as above</t>
        </r>
      </text>
    </comment>
    <comment ref="F70" authorId="0" shapeId="0" xr:uid="{00000000-0006-0000-0C00-000006000000}">
      <text>
        <r>
          <rPr>
            <sz val="9"/>
            <color indexed="81"/>
            <rFont val="Tahoma"/>
            <family val="2"/>
          </rPr>
          <t xml:space="preserve">same as above
</t>
        </r>
      </text>
    </comment>
    <comment ref="F76" authorId="0" shapeId="0" xr:uid="{00000000-0006-0000-0C00-000007000000}">
      <text>
        <r>
          <rPr>
            <sz val="9"/>
            <color indexed="81"/>
            <rFont val="Tahoma"/>
            <family val="2"/>
          </rPr>
          <t xml:space="preserve">contact PDMA for formula- it will depend on your width and depth - same comment for the next 3 lines
</t>
        </r>
      </text>
    </comment>
    <comment ref="F80" authorId="0" shapeId="0" xr:uid="{00000000-0006-0000-0C00-000008000000}">
      <text>
        <r>
          <rPr>
            <sz val="9"/>
            <color indexed="81"/>
            <rFont val="Tahoma"/>
            <family val="2"/>
          </rPr>
          <t xml:space="preserve">copy the formula from any other sqyd item below if it matches your depth, or contact PDMA, same comment for the next 3 lines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200-000001000000}">
      <text>
        <r>
          <rPr>
            <b/>
            <sz val="9"/>
            <color indexed="81"/>
            <rFont val="Tahoma"/>
            <family val="2"/>
          </rPr>
          <t>Kirtley, Yanina (FHWA):</t>
        </r>
        <r>
          <rPr>
            <sz val="9"/>
            <color indexed="81"/>
            <rFont val="Tahoma"/>
            <family val="2"/>
          </rPr>
          <t xml:space="preserve">
copy the formula from any other sqyd item below if it matches your depth, or contact Y.Kirtley</t>
        </r>
      </text>
    </comment>
    <comment ref="F66" authorId="0" shapeId="0" xr:uid="{00000000-0006-0000-0200-000002000000}">
      <text>
        <r>
          <rPr>
            <sz val="9"/>
            <color indexed="81"/>
            <rFont val="Tahoma"/>
            <family val="2"/>
          </rPr>
          <t>copy the formula from any other sqyd item below if it matches your depth, or contact PDMA</t>
        </r>
      </text>
    </comment>
    <comment ref="F67" authorId="0" shapeId="0" xr:uid="{00000000-0006-0000-0200-000003000000}">
      <text>
        <r>
          <rPr>
            <sz val="9"/>
            <color indexed="81"/>
            <rFont val="Tahoma"/>
            <family val="2"/>
          </rPr>
          <t>same as above</t>
        </r>
      </text>
    </comment>
    <comment ref="F68" authorId="0" shapeId="0" xr:uid="{00000000-0006-0000-0200-000004000000}">
      <text>
        <r>
          <rPr>
            <sz val="9"/>
            <color indexed="81"/>
            <rFont val="Tahoma"/>
            <family val="2"/>
          </rPr>
          <t>same as above</t>
        </r>
      </text>
    </comment>
    <comment ref="F69" authorId="0" shapeId="0" xr:uid="{00000000-0006-0000-0200-000005000000}">
      <text>
        <r>
          <rPr>
            <sz val="9"/>
            <color indexed="81"/>
            <rFont val="Tahoma"/>
            <family val="2"/>
          </rPr>
          <t>same as above</t>
        </r>
      </text>
    </comment>
    <comment ref="F70" authorId="0" shapeId="0" xr:uid="{00000000-0006-0000-0200-000006000000}">
      <text>
        <r>
          <rPr>
            <sz val="9"/>
            <color indexed="81"/>
            <rFont val="Tahoma"/>
            <family val="2"/>
          </rPr>
          <t xml:space="preserve">same as above
</t>
        </r>
      </text>
    </comment>
    <comment ref="F76" authorId="0" shapeId="0" xr:uid="{00000000-0006-0000-0200-000007000000}">
      <text>
        <r>
          <rPr>
            <sz val="9"/>
            <color indexed="81"/>
            <rFont val="Tahoma"/>
            <family val="2"/>
          </rPr>
          <t xml:space="preserve">Contact PDMA for formula- it will depend on your width and depth - same comment for the next 3 lines
</t>
        </r>
      </text>
    </comment>
    <comment ref="F80" authorId="0" shapeId="0" xr:uid="{00000000-0006-0000-0200-000008000000}">
      <text>
        <r>
          <rPr>
            <sz val="9"/>
            <color indexed="81"/>
            <rFont val="Tahoma"/>
            <family val="2"/>
          </rPr>
          <t xml:space="preserve">copy the formula from any other sqyd item below if it matches your depth, or contact PDMA, same comment for the next 3 lines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3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300-000002000000}">
      <text>
        <r>
          <rPr>
            <sz val="9"/>
            <color indexed="81"/>
            <rFont val="Tahoma"/>
            <family val="2"/>
          </rPr>
          <t xml:space="preserve">If your Q_Ton unit price is not appearing, check the line item in the "inputSchB" tab to review further instructions.  </t>
        </r>
      </text>
    </comment>
    <comment ref="I14" authorId="2" shapeId="0" xr:uid="{00000000-0006-0000-0300-000003000000}">
      <text>
        <r>
          <rPr>
            <b/>
            <sz val="9"/>
            <color indexed="81"/>
            <rFont val="Tahoma"/>
            <family val="2"/>
          </rPr>
          <t>Take a note of this and use in EEBACS</t>
        </r>
        <r>
          <rPr>
            <sz val="9"/>
            <color indexed="81"/>
            <rFont val="Tahoma"/>
            <family val="2"/>
          </rPr>
          <t xml:space="preserve">
</t>
        </r>
      </text>
    </comment>
    <comment ref="G154" authorId="3" shapeId="0" xr:uid="{00000000-0006-0000-03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3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3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300-000007000000}">
      <text>
        <r>
          <rPr>
            <b/>
            <sz val="9"/>
            <color indexed="81"/>
            <rFont val="Tahoma"/>
            <family val="2"/>
          </rPr>
          <t>Hirsbrunner, Heidi (FHWA):</t>
        </r>
        <r>
          <rPr>
            <sz val="9"/>
            <color indexed="81"/>
            <rFont val="Tahoma"/>
            <family val="2"/>
          </rPr>
          <t xml:space="preserve">
(1.60-1.10)(BPI)[Sum(Q)(FUF)]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400-000001000000}">
      <text>
        <r>
          <rPr>
            <sz val="9"/>
            <color indexed="81"/>
            <rFont val="Tahoma"/>
            <family val="2"/>
          </rPr>
          <t>copy the formula from any other sqyd item below if it matches your depth, or contact PDMA</t>
        </r>
      </text>
    </comment>
    <comment ref="F66" authorId="0" shapeId="0" xr:uid="{00000000-0006-0000-0400-000002000000}">
      <text>
        <r>
          <rPr>
            <sz val="9"/>
            <color indexed="81"/>
            <rFont val="Tahoma"/>
            <family val="2"/>
          </rPr>
          <t>copy the formula from any other sqyd item below if it matches your depth, or contact PDMA</t>
        </r>
      </text>
    </comment>
    <comment ref="F67" authorId="0" shapeId="0" xr:uid="{00000000-0006-0000-0400-000003000000}">
      <text>
        <r>
          <rPr>
            <b/>
            <sz val="9"/>
            <color indexed="81"/>
            <rFont val="Tahoma"/>
            <family val="2"/>
          </rPr>
          <t xml:space="preserve"> </t>
        </r>
        <r>
          <rPr>
            <sz val="9"/>
            <color indexed="81"/>
            <rFont val="Tahoma"/>
            <family val="2"/>
          </rPr>
          <t>same as above</t>
        </r>
      </text>
    </comment>
    <comment ref="F68" authorId="0" shapeId="0" xr:uid="{00000000-0006-0000-0400-000004000000}">
      <text>
        <r>
          <rPr>
            <b/>
            <sz val="9"/>
            <color indexed="81"/>
            <rFont val="Tahoma"/>
            <family val="2"/>
          </rPr>
          <t xml:space="preserve"> </t>
        </r>
        <r>
          <rPr>
            <sz val="9"/>
            <color indexed="81"/>
            <rFont val="Tahoma"/>
            <family val="2"/>
          </rPr>
          <t>same as above</t>
        </r>
      </text>
    </comment>
    <comment ref="F69" authorId="0" shapeId="0" xr:uid="{00000000-0006-0000-0400-000005000000}">
      <text>
        <r>
          <rPr>
            <sz val="9"/>
            <color indexed="81"/>
            <rFont val="Tahoma"/>
            <family val="2"/>
          </rPr>
          <t>same as above</t>
        </r>
      </text>
    </comment>
    <comment ref="F70" authorId="0" shapeId="0" xr:uid="{00000000-0006-0000-0400-000006000000}">
      <text>
        <r>
          <rPr>
            <b/>
            <sz val="9"/>
            <color indexed="81"/>
            <rFont val="Tahoma"/>
            <family val="2"/>
          </rPr>
          <t xml:space="preserve"> </t>
        </r>
        <r>
          <rPr>
            <sz val="9"/>
            <color indexed="81"/>
            <rFont val="Tahoma"/>
            <family val="2"/>
          </rPr>
          <t xml:space="preserve">same as above
</t>
        </r>
      </text>
    </comment>
    <comment ref="F76" authorId="0" shapeId="0" xr:uid="{00000000-0006-0000-0400-000007000000}">
      <text>
        <r>
          <rPr>
            <sz val="9"/>
            <color indexed="81"/>
            <rFont val="Tahoma"/>
            <family val="2"/>
          </rPr>
          <t xml:space="preserve">contact Y. Kirtley for formula- it will depend on your width and depth - same comment for the next 3 lines
</t>
        </r>
      </text>
    </comment>
    <comment ref="F80" authorId="0" shapeId="0" xr:uid="{00000000-0006-0000-0400-000008000000}">
      <text>
        <r>
          <rPr>
            <sz val="9"/>
            <color indexed="81"/>
            <rFont val="Tahoma"/>
            <family val="2"/>
          </rPr>
          <t xml:space="preserve">copy the formula from any other sqyd item below if it matches your depth, or contact PDMA, same comment for the next 3 lines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5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500-000002000000}">
      <text>
        <r>
          <rPr>
            <sz val="9"/>
            <color indexed="81"/>
            <rFont val="Tahoma"/>
            <family val="2"/>
          </rPr>
          <t xml:space="preserve">If your Q_Ton unit price is not appearing, check the line item in the "inputSchC" tab to review further instructions.  </t>
        </r>
      </text>
    </comment>
    <comment ref="I14" authorId="2" shapeId="0" xr:uid="{00000000-0006-0000-0500-000003000000}">
      <text>
        <r>
          <rPr>
            <b/>
            <sz val="9"/>
            <color indexed="81"/>
            <rFont val="Tahoma"/>
            <charset val="1"/>
          </rPr>
          <t>Take a note of this and use in EEBACS</t>
        </r>
        <r>
          <rPr>
            <sz val="9"/>
            <color indexed="81"/>
            <rFont val="Tahoma"/>
            <charset val="1"/>
          </rPr>
          <t xml:space="preserve">
</t>
        </r>
      </text>
    </comment>
    <comment ref="G154" authorId="3" shapeId="0" xr:uid="{00000000-0006-0000-05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5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5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500-000007000000}">
      <text>
        <r>
          <rPr>
            <b/>
            <sz val="9"/>
            <color indexed="81"/>
            <rFont val="Tahoma"/>
            <family val="2"/>
          </rPr>
          <t>Hirsbrunner, Heidi (FHWA):</t>
        </r>
        <r>
          <rPr>
            <sz val="9"/>
            <color indexed="81"/>
            <rFont val="Tahoma"/>
            <family val="2"/>
          </rPr>
          <t xml:space="preserve">
(1.60-1.10)(BPI)[Sum(Q)(FUF)]</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600-000001000000}">
      <text>
        <r>
          <rPr>
            <sz val="9"/>
            <color indexed="81"/>
            <rFont val="Tahoma"/>
            <family val="2"/>
          </rPr>
          <t>copy the formula from any other sqyd item below if it matches your depth, or contact Y.Kirtley</t>
        </r>
      </text>
    </comment>
    <comment ref="F66" authorId="0" shapeId="0" xr:uid="{00000000-0006-0000-0600-000002000000}">
      <text>
        <r>
          <rPr>
            <sz val="9"/>
            <color indexed="81"/>
            <rFont val="Tahoma"/>
            <family val="2"/>
          </rPr>
          <t>copy the formula from any other sqyd item below if it matches your depth, or contact PDMA</t>
        </r>
      </text>
    </comment>
    <comment ref="F67" authorId="0" shapeId="0" xr:uid="{00000000-0006-0000-0600-000003000000}">
      <text>
        <r>
          <rPr>
            <sz val="9"/>
            <color indexed="81"/>
            <rFont val="Tahoma"/>
            <family val="2"/>
          </rPr>
          <t>same as above</t>
        </r>
      </text>
    </comment>
    <comment ref="F68" authorId="0" shapeId="0" xr:uid="{00000000-0006-0000-0600-000004000000}">
      <text>
        <r>
          <rPr>
            <b/>
            <sz val="9"/>
            <color indexed="81"/>
            <rFont val="Tahoma"/>
            <family val="2"/>
          </rPr>
          <t>s</t>
        </r>
        <r>
          <rPr>
            <sz val="9"/>
            <color indexed="81"/>
            <rFont val="Tahoma"/>
            <family val="2"/>
          </rPr>
          <t>ame as above</t>
        </r>
      </text>
    </comment>
    <comment ref="F69" authorId="0" shapeId="0" xr:uid="{00000000-0006-0000-0600-000005000000}">
      <text>
        <r>
          <rPr>
            <sz val="9"/>
            <color indexed="81"/>
            <rFont val="Tahoma"/>
            <family val="2"/>
          </rPr>
          <t xml:space="preserve"> same as above</t>
        </r>
      </text>
    </comment>
    <comment ref="F70" authorId="0" shapeId="0" xr:uid="{00000000-0006-0000-0600-000006000000}">
      <text>
        <r>
          <rPr>
            <b/>
            <sz val="9"/>
            <color indexed="81"/>
            <rFont val="Tahoma"/>
            <family val="2"/>
          </rPr>
          <t xml:space="preserve"> </t>
        </r>
        <r>
          <rPr>
            <sz val="9"/>
            <color indexed="81"/>
            <rFont val="Tahoma"/>
            <family val="2"/>
          </rPr>
          <t xml:space="preserve">same as above
</t>
        </r>
      </text>
    </comment>
    <comment ref="F76" authorId="0" shapeId="0" xr:uid="{00000000-0006-0000-0600-000007000000}">
      <text>
        <r>
          <rPr>
            <sz val="9"/>
            <color indexed="81"/>
            <rFont val="Tahoma"/>
            <family val="2"/>
          </rPr>
          <t xml:space="preserve">contact PDMA for formula- it will depend on your width and depth - same comment for the next 3 lines
</t>
        </r>
      </text>
    </comment>
    <comment ref="F80" authorId="0" shapeId="0" xr:uid="{00000000-0006-0000-0600-000008000000}">
      <text>
        <r>
          <rPr>
            <b/>
            <sz val="9"/>
            <color indexed="81"/>
            <rFont val="Tahoma"/>
            <family val="2"/>
          </rPr>
          <t xml:space="preserve"> </t>
        </r>
        <r>
          <rPr>
            <sz val="9"/>
            <color indexed="81"/>
            <rFont val="Tahoma"/>
            <family val="2"/>
          </rPr>
          <t xml:space="preserve">copy the formula from any other sqyd item elow if it matches your depth, or contact PDMA, same comment for the next 3 lines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7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700-000002000000}">
      <text>
        <r>
          <rPr>
            <sz val="9"/>
            <color indexed="81"/>
            <rFont val="Tahoma"/>
            <family val="2"/>
          </rPr>
          <t xml:space="preserve">If your Q_Ton unit price is not appearing, check the line item in the "inputSchD" tab to review further instructions.  </t>
        </r>
      </text>
    </comment>
    <comment ref="I14" authorId="2" shapeId="0" xr:uid="{00000000-0006-0000-0700-000003000000}">
      <text>
        <r>
          <rPr>
            <b/>
            <sz val="9"/>
            <color indexed="81"/>
            <rFont val="Tahoma"/>
            <charset val="1"/>
          </rPr>
          <t>Take a note of this and use in EEBACS</t>
        </r>
        <r>
          <rPr>
            <sz val="9"/>
            <color indexed="81"/>
            <rFont val="Tahoma"/>
            <charset val="1"/>
          </rPr>
          <t xml:space="preserve">
</t>
        </r>
      </text>
    </comment>
    <comment ref="G154" authorId="3" shapeId="0" xr:uid="{00000000-0006-0000-07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7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7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700-000007000000}">
      <text>
        <r>
          <rPr>
            <b/>
            <sz val="9"/>
            <color indexed="81"/>
            <rFont val="Tahoma"/>
            <family val="2"/>
          </rPr>
          <t>Hirsbrunner, Heidi (FHWA):</t>
        </r>
        <r>
          <rPr>
            <sz val="9"/>
            <color indexed="81"/>
            <rFont val="Tahoma"/>
            <family val="2"/>
          </rPr>
          <t xml:space="preserve">
(1.60-1.10)(BPI)[Sum(Q)(FUF)]</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Kirtley, Yanina (FHWA)</author>
  </authors>
  <commentList>
    <comment ref="F7" authorId="0" shapeId="0" xr:uid="{00000000-0006-0000-0800-000001000000}">
      <text>
        <r>
          <rPr>
            <sz val="9"/>
            <color indexed="81"/>
            <rFont val="Tahoma"/>
            <family val="2"/>
          </rPr>
          <t>copy the formula from any other sqyd item below if it matches your depth, or contact Y.Kirtley</t>
        </r>
      </text>
    </comment>
    <comment ref="F66" authorId="0" shapeId="0" xr:uid="{00000000-0006-0000-0800-000002000000}">
      <text>
        <r>
          <rPr>
            <sz val="9"/>
            <color indexed="81"/>
            <rFont val="Tahoma"/>
            <family val="2"/>
          </rPr>
          <t>copy the formula from any other sqyd item below if it matches your depth, or contact PDMA</t>
        </r>
      </text>
    </comment>
    <comment ref="F67" authorId="0" shapeId="0" xr:uid="{00000000-0006-0000-0800-000003000000}">
      <text>
        <r>
          <rPr>
            <b/>
            <sz val="9"/>
            <color indexed="81"/>
            <rFont val="Tahoma"/>
            <family val="2"/>
          </rPr>
          <t xml:space="preserve"> </t>
        </r>
        <r>
          <rPr>
            <sz val="9"/>
            <color indexed="81"/>
            <rFont val="Tahoma"/>
            <family val="2"/>
          </rPr>
          <t>same as above</t>
        </r>
      </text>
    </comment>
    <comment ref="F68" authorId="0" shapeId="0" xr:uid="{00000000-0006-0000-0800-000004000000}">
      <text>
        <r>
          <rPr>
            <sz val="9"/>
            <color indexed="81"/>
            <rFont val="Tahoma"/>
            <family val="2"/>
          </rPr>
          <t>same as above</t>
        </r>
      </text>
    </comment>
    <comment ref="F69" authorId="0" shapeId="0" xr:uid="{00000000-0006-0000-0800-000005000000}">
      <text>
        <r>
          <rPr>
            <sz val="9"/>
            <color indexed="81"/>
            <rFont val="Tahoma"/>
            <family val="2"/>
          </rPr>
          <t>same as above</t>
        </r>
      </text>
    </comment>
    <comment ref="F70" authorId="0" shapeId="0" xr:uid="{00000000-0006-0000-0800-000006000000}">
      <text>
        <r>
          <rPr>
            <b/>
            <sz val="9"/>
            <color indexed="81"/>
            <rFont val="Tahoma"/>
            <family val="2"/>
          </rPr>
          <t xml:space="preserve"> </t>
        </r>
        <r>
          <rPr>
            <sz val="9"/>
            <color indexed="81"/>
            <rFont val="Tahoma"/>
            <family val="2"/>
          </rPr>
          <t xml:space="preserve">same as above
</t>
        </r>
      </text>
    </comment>
    <comment ref="F76" authorId="0" shapeId="0" xr:uid="{00000000-0006-0000-0800-000007000000}">
      <text>
        <r>
          <rPr>
            <sz val="9"/>
            <color indexed="81"/>
            <rFont val="Tahoma"/>
            <family val="2"/>
          </rPr>
          <t xml:space="preserve">contact PDMA for formula- it will depend on your width and depth - same comment for the next 3 lines
</t>
        </r>
      </text>
    </comment>
    <comment ref="F80" authorId="0" shapeId="0" xr:uid="{00000000-0006-0000-0800-000008000000}">
      <text>
        <r>
          <rPr>
            <sz val="9"/>
            <color indexed="81"/>
            <rFont val="Tahoma"/>
            <family val="2"/>
          </rPr>
          <t xml:space="preserve">copy the formula from any other sqyd item below if it matches your depth, or contact PDMA, same comment for the next 3 lines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Kirtley, Yanina (FHWA)</author>
    <author>Carruthers, Marc A. (FHWA)</author>
    <author>Ouhssayne, Lahoucine lo. (FHWA)</author>
    <author>Hirsbrunner, Heidi (FHWA)</author>
  </authors>
  <commentList>
    <comment ref="C13" authorId="0" shapeId="0" xr:uid="{00000000-0006-0000-0900-000001000000}">
      <text>
        <r>
          <rPr>
            <sz val="9"/>
            <color indexed="81"/>
            <rFont val="Tahoma"/>
            <family val="2"/>
          </rPr>
          <t>If using the same pay item more than once, go into the inputSchA tab and copy the row of the existing pay item and then insert a duplicate row.  Then provide a unique pay item number to each.  Such as 30101-3000 would become 30101-3000A and 30101-3000B</t>
        </r>
        <r>
          <rPr>
            <b/>
            <sz val="9"/>
            <color indexed="81"/>
            <rFont val="Tahoma"/>
            <family val="2"/>
          </rPr>
          <t xml:space="preserve">
</t>
        </r>
      </text>
    </comment>
    <comment ref="H14" authorId="1" shapeId="0" xr:uid="{00000000-0006-0000-0900-000002000000}">
      <text>
        <r>
          <rPr>
            <sz val="9"/>
            <color indexed="81"/>
            <rFont val="Tahoma"/>
            <family val="2"/>
          </rPr>
          <t xml:space="preserve">If your Q_Ton unit price is not appearing, check the line item in the "inputSchE" tab to review further instructions.  </t>
        </r>
      </text>
    </comment>
    <comment ref="I14" authorId="2" shapeId="0" xr:uid="{00000000-0006-0000-0900-000003000000}">
      <text>
        <r>
          <rPr>
            <b/>
            <sz val="9"/>
            <color indexed="81"/>
            <rFont val="Tahoma"/>
            <charset val="1"/>
          </rPr>
          <t>Take a note of this and use in EEBACS</t>
        </r>
        <r>
          <rPr>
            <sz val="9"/>
            <color indexed="81"/>
            <rFont val="Tahoma"/>
            <charset val="1"/>
          </rPr>
          <t xml:space="preserve">
</t>
        </r>
      </text>
    </comment>
    <comment ref="G154" authorId="3" shapeId="0" xr:uid="{00000000-0006-0000-0900-000004000000}">
      <text>
        <r>
          <rPr>
            <b/>
            <sz val="9"/>
            <color indexed="81"/>
            <rFont val="Tahoma"/>
            <family val="2"/>
          </rPr>
          <t>Yanina Kirtley (FHWA):</t>
        </r>
        <r>
          <rPr>
            <sz val="9"/>
            <color indexed="81"/>
            <rFont val="Tahoma"/>
            <family val="2"/>
          </rPr>
          <t xml:space="preserve">
request from Construction</t>
        </r>
      </text>
    </comment>
    <comment ref="G158" authorId="3" shapeId="0" xr:uid="{00000000-0006-0000-0900-000005000000}">
      <text>
        <r>
          <rPr>
            <b/>
            <sz val="9"/>
            <color indexed="81"/>
            <rFont val="Tahoma"/>
            <family val="2"/>
          </rPr>
          <t>Hirsbrunner, Heidi (FHWA):</t>
        </r>
        <r>
          <rPr>
            <sz val="9"/>
            <color indexed="81"/>
            <rFont val="Tahoma"/>
            <family val="2"/>
          </rPr>
          <t xml:space="preserve">
(1.60-1.10)(BPI)[Sum(Q)(FUF)]</t>
        </r>
      </text>
    </comment>
    <comment ref="G171" authorId="3" shapeId="0" xr:uid="{00000000-0006-0000-0900-000006000000}">
      <text>
        <r>
          <rPr>
            <b/>
            <sz val="9"/>
            <color indexed="81"/>
            <rFont val="Tahoma"/>
            <family val="2"/>
          </rPr>
          <t>Kirtley, Yanina (FHWA):</t>
        </r>
        <r>
          <rPr>
            <sz val="9"/>
            <color indexed="81"/>
            <rFont val="Tahoma"/>
            <family val="2"/>
          </rPr>
          <t xml:space="preserve">
request from Construction</t>
        </r>
      </text>
    </comment>
    <comment ref="G175" authorId="3" shapeId="0" xr:uid="{00000000-0006-0000-0900-000007000000}">
      <text>
        <r>
          <rPr>
            <b/>
            <sz val="9"/>
            <color indexed="81"/>
            <rFont val="Tahoma"/>
            <family val="2"/>
          </rPr>
          <t>Hirsbrunner, Heidi (FHWA):</t>
        </r>
        <r>
          <rPr>
            <sz val="9"/>
            <color indexed="81"/>
            <rFont val="Tahoma"/>
            <family val="2"/>
          </rPr>
          <t xml:space="preserve">
(1.60-1.10)(BPI)[Sum(Q)(FUF)]</t>
        </r>
      </text>
    </comment>
  </commentList>
</comments>
</file>

<file path=xl/sharedStrings.xml><?xml version="1.0" encoding="utf-8"?>
<sst xmlns="http://schemas.openxmlformats.org/spreadsheetml/2006/main" count="3791" uniqueCount="444">
  <si>
    <t>Unit Price</t>
  </si>
  <si>
    <t>Incentive Amt</t>
  </si>
  <si>
    <t xml:space="preserve">Project #:  </t>
  </si>
  <si>
    <t xml:space="preserve">Project Name:  </t>
  </si>
  <si>
    <t xml:space="preserve">Date:  </t>
  </si>
  <si>
    <t>A</t>
  </si>
  <si>
    <t xml:space="preserve">Units:  </t>
  </si>
  <si>
    <t xml:space="preserve">TOTAL MATERIALS INCENTIVES:  </t>
  </si>
  <si>
    <t xml:space="preserve">TOTAL ROUGHNESS INCENTIVES:  </t>
  </si>
  <si>
    <t>Quantity</t>
  </si>
  <si>
    <t xml:space="preserve">Note 1: </t>
  </si>
  <si>
    <t>Incentive Amt = (Quantity x Q_t Unit Price)</t>
  </si>
  <si>
    <t xml:space="preserve">Note 2: </t>
  </si>
  <si>
    <t xml:space="preserve">Note 3: </t>
  </si>
  <si>
    <t xml:space="preserve">FP Version:  </t>
  </si>
  <si>
    <t>FP-03</t>
  </si>
  <si>
    <t>FP-14</t>
  </si>
  <si>
    <t>Section 204 - Excavation and Embankment</t>
  </si>
  <si>
    <t>Roadway exacation</t>
  </si>
  <si>
    <t>Unclassified borrow</t>
  </si>
  <si>
    <t>Gallons</t>
  </si>
  <si>
    <t>109.06-Pricing Adjustments FUEL</t>
  </si>
  <si>
    <t>Select borrow</t>
  </si>
  <si>
    <t>Subexacation</t>
  </si>
  <si>
    <t>Select topping</t>
  </si>
  <si>
    <t>Rock excavation</t>
  </si>
  <si>
    <t>Unclassified borrow*</t>
  </si>
  <si>
    <t>Select borrow*</t>
  </si>
  <si>
    <t>Select topping*</t>
  </si>
  <si>
    <t>Aggegate base</t>
  </si>
  <si>
    <t>Aggegate base*</t>
  </si>
  <si>
    <t>Subbase</t>
  </si>
  <si>
    <t>Subbase*</t>
  </si>
  <si>
    <t>Section 301 - Untreated Aggregate Courses</t>
  </si>
  <si>
    <t>Section 302 - Untreated Aggregate Courses</t>
  </si>
  <si>
    <t>30201</t>
  </si>
  <si>
    <t>Treated aggregate course</t>
  </si>
  <si>
    <t>30202</t>
  </si>
  <si>
    <t>Treated aggregate course*</t>
  </si>
  <si>
    <t>Section 305 - Full Depth reclamation (FDR) with Cement</t>
  </si>
  <si>
    <t>30501</t>
  </si>
  <si>
    <t>FDR with Cement*</t>
  </si>
  <si>
    <t>30502</t>
  </si>
  <si>
    <t>FDR with Cement</t>
  </si>
  <si>
    <t>Tons</t>
  </si>
  <si>
    <t>tonnes</t>
  </si>
  <si>
    <t>SQYD</t>
  </si>
  <si>
    <t>m2</t>
  </si>
  <si>
    <t>Section 304 - Aggregate Stabilization</t>
  </si>
  <si>
    <t>30401</t>
  </si>
  <si>
    <t>Aggregate stabilzation imported aggregate</t>
  </si>
  <si>
    <t>30402</t>
  </si>
  <si>
    <t>Aggregate stabilzation imported aggregate*</t>
  </si>
  <si>
    <t>30405</t>
  </si>
  <si>
    <t>Aggregate stabilzation in-place aggregate*</t>
  </si>
  <si>
    <t>30410</t>
  </si>
  <si>
    <t>Aggregate stabilzation imported surface course*</t>
  </si>
  <si>
    <t>30411</t>
  </si>
  <si>
    <t>Section 306 - Full Depth reclamation (FDR) with Asphalt</t>
  </si>
  <si>
    <t>30601</t>
  </si>
  <si>
    <t>FDR with Emulsified Asphalt*</t>
  </si>
  <si>
    <t>30602</t>
  </si>
  <si>
    <t>30603</t>
  </si>
  <si>
    <t>FDR with Foamed Asphalt*</t>
  </si>
  <si>
    <t>30604</t>
  </si>
  <si>
    <t>FDR with Foamed Asphalt</t>
  </si>
  <si>
    <t>Emulsified asphalt treated aggregate base</t>
  </si>
  <si>
    <t>Emulsified asphalt treated aggregate base*</t>
  </si>
  <si>
    <t>Section 310 - Cold InPlace (CIP) Recycled Asphalt Base</t>
  </si>
  <si>
    <t>31001</t>
  </si>
  <si>
    <t>CIP Recycled Ashalt Base*</t>
  </si>
  <si>
    <t>31002</t>
  </si>
  <si>
    <t>CIP Recycled Ashalt Base</t>
  </si>
  <si>
    <t>40101</t>
  </si>
  <si>
    <t>Superpave pavement</t>
  </si>
  <si>
    <t>40102</t>
  </si>
  <si>
    <t>Superpave pavement wedge and levelling course</t>
  </si>
  <si>
    <t>FUF</t>
  </si>
  <si>
    <t>Section 401 - Superpave HACP</t>
  </si>
  <si>
    <t>Section 402 - HACP by Hveem or Marshall</t>
  </si>
  <si>
    <t>Section 311 - Stabilized Aggregate Base Course</t>
  </si>
  <si>
    <t>31101</t>
  </si>
  <si>
    <t>Stabilized aggregate surface course*</t>
  </si>
  <si>
    <t>31102</t>
  </si>
  <si>
    <t>Section 403 - Hot Asphalt Concrete Pavement</t>
  </si>
  <si>
    <t>Hot asphalt concrete pavement, wedge and levelling course</t>
  </si>
  <si>
    <t>Section 401 - ACP by Gyratory Mix Design Method</t>
  </si>
  <si>
    <t>Asphalt concrete pavement, gyratory mix, wedged and leveling</t>
  </si>
  <si>
    <t>40301</t>
  </si>
  <si>
    <t>Hot asphalt concrete pavement</t>
  </si>
  <si>
    <t>40302</t>
  </si>
  <si>
    <t>Asphalt concrete pavement, gyratory mix</t>
  </si>
  <si>
    <t>Section 402 - ACP by Hveem or Marshall Mix Design Method</t>
  </si>
  <si>
    <t>40201</t>
  </si>
  <si>
    <t>ACP Hveem or Marshall Mix Design Method</t>
  </si>
  <si>
    <t>40202</t>
  </si>
  <si>
    <t>Section 405 - Open-Graded Asphalt Friction Course</t>
  </si>
  <si>
    <t>40501</t>
  </si>
  <si>
    <t>HACP Hveem or Marshall test</t>
  </si>
  <si>
    <t>HACP Hveem or Marshall test, wedge and levelling course</t>
  </si>
  <si>
    <t>FDR with Emulsified Asphalt</t>
  </si>
  <si>
    <t>Open-graded asphalt friction course</t>
  </si>
  <si>
    <t>Section 403 - Asphalt Concrete</t>
  </si>
  <si>
    <t>Asphalt concrete pavement</t>
  </si>
  <si>
    <t>Asphalt concrete pavement*</t>
  </si>
  <si>
    <t>40303</t>
  </si>
  <si>
    <t>Asphalt concrete pavement, wedge and levelling</t>
  </si>
  <si>
    <t>Section 408 - Cold Recycled Asphalt base Course</t>
  </si>
  <si>
    <t>40801</t>
  </si>
  <si>
    <t>Cold recylced aphalt base</t>
  </si>
  <si>
    <t>40802</t>
  </si>
  <si>
    <t>Cold recylced aphalt base*</t>
  </si>
  <si>
    <t>Section 405 - Open-Graded Asphalt Friction</t>
  </si>
  <si>
    <t>Section 416 - Continuous Cold Recycled Asphalt Base Course</t>
  </si>
  <si>
    <t>41601</t>
  </si>
  <si>
    <t>Continuous cold recylced aphalt base</t>
  </si>
  <si>
    <t>Section 418 - Foamed Asphalt Stabilized Base - not in FP (in SCRs)</t>
  </si>
  <si>
    <t>Not applicable</t>
  </si>
  <si>
    <t/>
  </si>
  <si>
    <t>Section 501 - Rigid pavement</t>
  </si>
  <si>
    <t>50101</t>
  </si>
  <si>
    <t>Reinforced rigid pavement</t>
  </si>
  <si>
    <t>50102</t>
  </si>
  <si>
    <t>Plain rigid pavement</t>
  </si>
  <si>
    <t>Embankment construction</t>
  </si>
  <si>
    <t>Aggregate surface course</t>
  </si>
  <si>
    <t>Aggregate surface course*</t>
  </si>
  <si>
    <t>Section 309 - Emulsified Asphalt Treated Base</t>
  </si>
  <si>
    <t>BPI for Low Sulfur, No. 2 Diesel Fuel per Gallon</t>
  </si>
  <si>
    <t>Max MPPI (BPI x 1.6)</t>
  </si>
  <si>
    <t>Maximum Payment to Contractor</t>
  </si>
  <si>
    <t>% of Max. Payment to Contractor (15%-30%)</t>
  </si>
  <si>
    <t xml:space="preserve">Total Quantity of Work x FUF (see 109.06, Table 1)   = </t>
  </si>
  <si>
    <t>Total Contigency Amount (Fuel)</t>
  </si>
  <si>
    <t>109.06-Pricing Adjustments Asphalt Cement</t>
  </si>
  <si>
    <t>BPI for Asphalt Cement per ton</t>
  </si>
  <si>
    <t>Maximum Payment to Contractor (given 6% AC)</t>
  </si>
  <si>
    <t>tons of Asphalt Pavement</t>
  </si>
  <si>
    <t>Total Contigency Amount (Asphalt Cement)</t>
  </si>
  <si>
    <t>109.06-Pricing Adjustments FUEL (continued)</t>
  </si>
  <si>
    <t xml:space="preserve">Schedule: </t>
  </si>
  <si>
    <t>Bid Amount:</t>
  </si>
  <si>
    <t>Adjustments to Bid Amount (15401 Gov. Lab Trailer)</t>
  </si>
  <si>
    <t>Adjusted Bid Amount:</t>
  </si>
  <si>
    <t>Total Material Incentives:</t>
  </si>
  <si>
    <t>Total Roughness Incentives:</t>
  </si>
  <si>
    <t>Partnering/Completion Incentives:</t>
  </si>
  <si>
    <t>Total Contingencies/Incentives:</t>
  </si>
  <si>
    <t>Revised Bid Amounts (PR Amounts):</t>
  </si>
  <si>
    <t>Summary</t>
  </si>
  <si>
    <t>Sheet2</t>
  </si>
  <si>
    <t>Sheet3</t>
  </si>
  <si>
    <t>Sheet4</t>
  </si>
  <si>
    <t>Sheet5</t>
  </si>
  <si>
    <t>Sheet6</t>
  </si>
  <si>
    <t xml:space="preserve">Units: </t>
  </si>
  <si>
    <t>Total</t>
  </si>
  <si>
    <t>Sheet1</t>
  </si>
  <si>
    <t>Total Fuel Contingency:</t>
  </si>
  <si>
    <t>Total Asphalt Contingency:</t>
  </si>
  <si>
    <t>B</t>
  </si>
  <si>
    <t>US CUSTOMARY</t>
  </si>
  <si>
    <r>
      <t>*</t>
    </r>
    <r>
      <rPr>
        <b/>
        <sz val="8"/>
        <color theme="1"/>
        <rFont val="Arial"/>
        <family val="2"/>
      </rPr>
      <t xml:space="preserve"> </t>
    </r>
    <r>
      <rPr>
        <sz val="8"/>
        <color theme="1"/>
        <rFont val="Arial"/>
        <family val="2"/>
      </rPr>
      <t>The Government, to agree with the units associated with the applicable Fuel Usage Factor, will convert work quantities, as necessary.</t>
    </r>
  </si>
  <si>
    <t>EFLHD - Materials &amp; Roughness Incentives Adjustments Worksheet</t>
  </si>
  <si>
    <t>EFLHD - Asphalt Cement &amp; Fuel Price Adjustments Worksheet</t>
  </si>
  <si>
    <t xml:space="preserve">    EFLHD - Acquisition Incentive Summary</t>
  </si>
  <si>
    <t>Item #</t>
  </si>
  <si>
    <t>(Item Incentive is calculated from)</t>
  </si>
  <si>
    <t>C</t>
  </si>
  <si>
    <t>Use for the following FP Sections:  401 and 402</t>
  </si>
  <si>
    <r>
      <t>Materials Incentives (6% Max. Incentive Items)</t>
    </r>
    <r>
      <rPr>
        <b/>
        <vertAlign val="superscript"/>
        <sz val="12"/>
        <color rgb="FFFF0000"/>
        <rFont val="Arial"/>
        <family val="2"/>
      </rPr>
      <t>SEE NOTE 2</t>
    </r>
  </si>
  <si>
    <r>
      <t>Roughness Incentives</t>
    </r>
    <r>
      <rPr>
        <b/>
        <vertAlign val="superscript"/>
        <sz val="12"/>
        <color rgb="FFFF0000"/>
        <rFont val="Arial"/>
        <family val="2"/>
      </rPr>
      <t>SEE NOTE 3</t>
    </r>
  </si>
  <si>
    <t>Pay</t>
  </si>
  <si>
    <t>Roadway Name</t>
  </si>
  <si>
    <t>(Route Incentive is calculated from)</t>
  </si>
  <si>
    <t>Roadway Length</t>
  </si>
  <si>
    <t>Pay Item #</t>
  </si>
  <si>
    <t xml:space="preserve">                        Materials Incentives (5% Max. Incentive Items)</t>
  </si>
  <si>
    <t xml:space="preserve">included; cattle guards and bridges not being overlaid are not included). Use only if the pavement roughness is Type I, II, or III (do not use for </t>
  </si>
  <si>
    <t>additional lines for Schedules that contain more than three qualifying roadways).</t>
  </si>
  <si>
    <t>type IV). See FP Subsection 401.16, for more information. A line item is required for EACH qualifying roadway included in the Schedule (add</t>
  </si>
  <si>
    <t xml:space="preserve">Note 5: </t>
  </si>
  <si>
    <t>D</t>
  </si>
  <si>
    <t>E</t>
  </si>
  <si>
    <t>F</t>
  </si>
  <si>
    <t>SEE NOTE 5</t>
  </si>
  <si>
    <t>Line Item #</t>
  </si>
  <si>
    <t>30103-4000</t>
  </si>
  <si>
    <t>30112-0000</t>
  </si>
  <si>
    <t>30101-0000</t>
  </si>
  <si>
    <t>30101-1000</t>
  </si>
  <si>
    <t>30101-2000</t>
  </si>
  <si>
    <t>30101-3000</t>
  </si>
  <si>
    <t>30101-4000</t>
  </si>
  <si>
    <t>30102-0000</t>
  </si>
  <si>
    <t>30102-0100</t>
  </si>
  <si>
    <t>30102-0200</t>
  </si>
  <si>
    <t>30102-0300</t>
  </si>
  <si>
    <t>30102-0400</t>
  </si>
  <si>
    <t>30102-0500</t>
  </si>
  <si>
    <t>30102-0600</t>
  </si>
  <si>
    <t>30102-0700</t>
  </si>
  <si>
    <t>30102-0800</t>
  </si>
  <si>
    <t>30102-0900</t>
  </si>
  <si>
    <t>30102-1000</t>
  </si>
  <si>
    <t>30102-1100</t>
  </si>
  <si>
    <t>30102-1200</t>
  </si>
  <si>
    <t>30102-1300</t>
  </si>
  <si>
    <t>30102-1400</t>
  </si>
  <si>
    <t>30102-1500</t>
  </si>
  <si>
    <t>30102-1600</t>
  </si>
  <si>
    <t>30102-1700</t>
  </si>
  <si>
    <t>30102-1800</t>
  </si>
  <si>
    <t>30102-1900</t>
  </si>
  <si>
    <t>30102-2000</t>
  </si>
  <si>
    <t>30102-2100</t>
  </si>
  <si>
    <t>30102-2150</t>
  </si>
  <si>
    <t>30102-2200</t>
  </si>
  <si>
    <t>30102-2300</t>
  </si>
  <si>
    <t>30102-2400</t>
  </si>
  <si>
    <t>30103-0000</t>
  </si>
  <si>
    <t>30103-1000</t>
  </si>
  <si>
    <t>30103-2000</t>
  </si>
  <si>
    <t>30103-3000</t>
  </si>
  <si>
    <t>30105-0000</t>
  </si>
  <si>
    <t>30105-1000</t>
  </si>
  <si>
    <t>30105-2000</t>
  </si>
  <si>
    <t>30106-0100</t>
  </si>
  <si>
    <t>30106-0200</t>
  </si>
  <si>
    <t>30106-0300</t>
  </si>
  <si>
    <t>30106-0400</t>
  </si>
  <si>
    <t>30106-0500</t>
  </si>
  <si>
    <t>30106-0600</t>
  </si>
  <si>
    <t>30106-0700</t>
  </si>
  <si>
    <t>30106-0800</t>
  </si>
  <si>
    <t>30106-0900</t>
  </si>
  <si>
    <t>30106-1000</t>
  </si>
  <si>
    <t>30107-0000</t>
  </si>
  <si>
    <t>30107-1000</t>
  </si>
  <si>
    <t>30107-2000</t>
  </si>
  <si>
    <t>30110-0000</t>
  </si>
  <si>
    <t>30111-1000</t>
  </si>
  <si>
    <t>30111-2000</t>
  </si>
  <si>
    <t>30111-3000</t>
  </si>
  <si>
    <t>30111-4000</t>
  </si>
  <si>
    <t>30111-5000</t>
  </si>
  <si>
    <t>AGGREGATE BASE</t>
  </si>
  <si>
    <t>TON</t>
  </si>
  <si>
    <t>AGGREGATE BASE GRADING C</t>
  </si>
  <si>
    <t>AGGREGATE BASE GRADING D</t>
  </si>
  <si>
    <t>AGGREGATE BASE GRADING E</t>
  </si>
  <si>
    <t>AGGREGATE BASE GRADING C OR D</t>
  </si>
  <si>
    <t>AGGREGATE BASE GRADING C, 4-INCH DEPTH</t>
  </si>
  <si>
    <t>AGGREGATE BASE GRADING C, 6-INCH DEPTH</t>
  </si>
  <si>
    <t>AGGREGATE BASE GRADING C, 8-INCH DEPTH</t>
  </si>
  <si>
    <t>AGGREGATE BASE GRADING C, 10-INCH DEPTH</t>
  </si>
  <si>
    <t>AGGREGATE BASE GRADING C, 12-INCH DEPTH</t>
  </si>
  <si>
    <t>AGGREGATE BASE GRADING D, 4-INCH DEPTH</t>
  </si>
  <si>
    <t>AGGREGATE BASE GRADING D, 6-INCH DEPTH</t>
  </si>
  <si>
    <t>AGGREGATE BASE GRADING D, 8-INCH DEPTH</t>
  </si>
  <si>
    <t>AGGREGATE BASE GRADING D, 10-INCH DEPTH</t>
  </si>
  <si>
    <t>AGGREGATE BASE GRADING D, 12-INCH DEPTH</t>
  </si>
  <si>
    <t>AGGREGATE BASE GRADING E, 4-INCH DEPTH</t>
  </si>
  <si>
    <t>AGGREGATE BASE GRADING E, 6-INCH DEPTH</t>
  </si>
  <si>
    <t>AGGREGATE BASE GRADING E, 8-INCH DEPTH</t>
  </si>
  <si>
    <t>AGGREGATE BASE GRADING E, 10-INCH DEPTH</t>
  </si>
  <si>
    <t>AGGREGATE BASE GRADING E, 12-INCH DEPTH</t>
  </si>
  <si>
    <t>AGGREGATE BASE GRADING C OR D, 2-INCH DEPTH</t>
  </si>
  <si>
    <t>AGGREGATE BASE GRADING C OR D, 3-INCH DEPTH</t>
  </si>
  <si>
    <t>AGGREGATE BASE GRADING C OR D, 4-INCH DEPTH</t>
  </si>
  <si>
    <t>AGGREGATE BASE GRADING C OR D, 5-INCH DEPTH</t>
  </si>
  <si>
    <t>AGGREGATE BASE GRADING C OR D, 6-INCH DEPTH</t>
  </si>
  <si>
    <t>AGGREGATE BASE GRADING C OR D, 8-INCH DEPTH</t>
  </si>
  <si>
    <t>AGGREGATE BASE GRADING C OR D, 9-INCH DEPTH</t>
  </si>
  <si>
    <t>AGGREGATE BASE GRADING C OR D, 10-INCH DEPTH</t>
  </si>
  <si>
    <t>AGGREGATE BASE GRADING C OR D, 12-INCH DEPTH</t>
  </si>
  <si>
    <t>AGGREGATE BASE GRADING C OR D, 16-INCH DEPTH</t>
  </si>
  <si>
    <t>CUYD</t>
  </si>
  <si>
    <t>SUBBASE</t>
  </si>
  <si>
    <t>SUBBASE GRADING A</t>
  </si>
  <si>
    <t>SUBBASE GRADING B</t>
  </si>
  <si>
    <t>SUBBASE GRADING A, 4-INCH DEPTH</t>
  </si>
  <si>
    <t>SUBBASE GRADING A, 6-INCH DEPTH</t>
  </si>
  <si>
    <t>SUBBASE GRADING A, 8-INCH DEPTH</t>
  </si>
  <si>
    <t>SUBBASE GRADING A, 10-INCH DEPTH</t>
  </si>
  <si>
    <t>SUBBASE GRADING A, 12-INCH DEPTH</t>
  </si>
  <si>
    <t>SUBBASE GRADING B, 4-INCH DEPTH</t>
  </si>
  <si>
    <t>SUBBASE GRADING B, 6-INCH DEPTH</t>
  </si>
  <si>
    <t>SUBBASE GRADING B, 8-INCH DEPTH</t>
  </si>
  <si>
    <t>SUBBASE GRADING B, 10-INCH DEPTH</t>
  </si>
  <si>
    <t>SUBBASE GRADING B, 12-INCH DEPTH</t>
  </si>
  <si>
    <t>AGGREGATE SURFACE COURSE</t>
  </si>
  <si>
    <t>AGGREGATE SURFACE COURSE, 4-INCH DEPTH</t>
  </si>
  <si>
    <t>AGGREGATE SURFACE COURSE, 6-INCH DEPTH</t>
  </si>
  <si>
    <t>AGGREGATE SURFACE COURSE, 8-INCH DEPTH</t>
  </si>
  <si>
    <t>AGGREGATE SURFACE COURSE, 10-INCH DEPTH</t>
  </si>
  <si>
    <t>AGGREGATE SURFACE COURSE, 12-INCH DEPTH</t>
  </si>
  <si>
    <t>40702-0100</t>
  </si>
  <si>
    <t>40702-0200</t>
  </si>
  <si>
    <t>40702-0300</t>
  </si>
  <si>
    <t>40702-0400</t>
  </si>
  <si>
    <t>40702-1100</t>
  </si>
  <si>
    <t>40702-1200</t>
  </si>
  <si>
    <t>40702-1300</t>
  </si>
  <si>
    <t>CHIP SEAL, TYPE 1A</t>
  </si>
  <si>
    <t>CHIP SEAL, TYPE 1B</t>
  </si>
  <si>
    <t>CHIP SEAL, TYPE 1C</t>
  </si>
  <si>
    <t>CHIP SEAL, TYPE 1D</t>
  </si>
  <si>
    <t>CHIP SEAL, TYPE 2A</t>
  </si>
  <si>
    <t>CHIP SEAL, TYPE 2B</t>
  </si>
  <si>
    <t>CHIP SEAL, TYPE 2C</t>
  </si>
  <si>
    <t>Item Description-USC</t>
  </si>
  <si>
    <t>UNIT_E</t>
  </si>
  <si>
    <t>Q_t Unit Price = (Unit Price x (either 0.01, 0.03, 0.04, or 0.05 - incentive depends on the quantity))</t>
  </si>
  <si>
    <t>Q_t Unit Price = (Unit Price x (either 0.02, 0.04, 0.05 or 0.06 - incentive depends on the quantity)</t>
  </si>
  <si>
    <t>Q_Ton Unit Price</t>
  </si>
  <si>
    <t>"Line item #" should match the EE pay item line number.</t>
  </si>
  <si>
    <t>Fill out inputSch* worksheet for any 301, 309, 311, 405, and 407 pay items.</t>
  </si>
  <si>
    <t>30901-0000</t>
  </si>
  <si>
    <t>30901-1000</t>
  </si>
  <si>
    <t>30901-2000</t>
  </si>
  <si>
    <t>30901-3000</t>
  </si>
  <si>
    <t>30901-4000</t>
  </si>
  <si>
    <t>30902-0000</t>
  </si>
  <si>
    <t>30902-1000</t>
  </si>
  <si>
    <t>30902-2000</t>
  </si>
  <si>
    <t>30902-3000</t>
  </si>
  <si>
    <t>30902-4000</t>
  </si>
  <si>
    <t>30903-0000</t>
  </si>
  <si>
    <t>30903-1000</t>
  </si>
  <si>
    <t>30903-2000</t>
  </si>
  <si>
    <t>30903-3000</t>
  </si>
  <si>
    <t>30903-4000</t>
  </si>
  <si>
    <t>EMULSIFIED ASPHALT TREATED AGGREGATE BASE</t>
  </si>
  <si>
    <t>EMULSIFIED ASPHALT TREATED AGGREGATE BASE, GRADING C</t>
  </si>
  <si>
    <t>EMULSIFIED ASPHALT TREATED AGGREGATE BASE, GRADING D</t>
  </si>
  <si>
    <t>EMULSIFIED ASPHALT TREATED AGGREGATE BASE, GRADING E</t>
  </si>
  <si>
    <t>EMULSIFIED ASPHALT TREATED AGGREGATE BASE, GRADING C OR D</t>
  </si>
  <si>
    <t>31101-1000</t>
  </si>
  <si>
    <t>31101-2000</t>
  </si>
  <si>
    <t>31101-3000</t>
  </si>
  <si>
    <t>31101-4000</t>
  </si>
  <si>
    <t>31102-1000</t>
  </si>
  <si>
    <t>31102-2000</t>
  </si>
  <si>
    <t>31102-3000</t>
  </si>
  <si>
    <t>31102-4000</t>
  </si>
  <si>
    <t>31103-1000</t>
  </si>
  <si>
    <t>31103-2000</t>
  </si>
  <si>
    <t>31103-3000</t>
  </si>
  <si>
    <t>31103-4000</t>
  </si>
  <si>
    <t>STABILIZED AGGREGATE SURFACE COURSE, IMPORTED AGGREGATE</t>
  </si>
  <si>
    <t>MILE</t>
  </si>
  <si>
    <t>STABILIZED AGGREGATE SURFACE COURSE, IN-PLACE AGGREGATE</t>
  </si>
  <si>
    <t>STABILIZED AGGREGATE SURFACE COURSE, CALCIUM CHLORIDE, IMPORTED AGGREGATE</t>
  </si>
  <si>
    <t>STABILIZED AGGREGATE SURFACE COURSE, CALCIUM CHLORIDE, IN-PLACE AGGREGATE</t>
  </si>
  <si>
    <t>40501-0100</t>
  </si>
  <si>
    <t>OPEN-GRADED ASPHALT FRICTION COURSE, GRADING A OR B</t>
  </si>
  <si>
    <t>40701-0100</t>
  </si>
  <si>
    <t>40701-0200</t>
  </si>
  <si>
    <t>40701-0300</t>
  </si>
  <si>
    <t>40701-0400</t>
  </si>
  <si>
    <t>40701-1100</t>
  </si>
  <si>
    <t>40701-1200</t>
  </si>
  <si>
    <t>40701-1300</t>
  </si>
  <si>
    <t>40701-1400</t>
  </si>
  <si>
    <t>40701-1500</t>
  </si>
  <si>
    <t>40701-1600</t>
  </si>
  <si>
    <t>CHIP SEAL, TYPE 2A, GRADING A</t>
  </si>
  <si>
    <t>CHIP SEAL, TYPE 2A, GRADING C</t>
  </si>
  <si>
    <t>CHIP SEAL, TYPE 2B, GRADING B</t>
  </si>
  <si>
    <t>CHIP SEAL, TYPE 2B, GRADING C</t>
  </si>
  <si>
    <t>CHIP SEAL, TYPE 2C, GRADING C</t>
  </si>
  <si>
    <t>CHIP SEAL, TYPE 2C, GRADING D</t>
  </si>
  <si>
    <t>40101-0080</t>
  </si>
  <si>
    <t>40101-0100</t>
  </si>
  <si>
    <t>40101-0200</t>
  </si>
  <si>
    <t>40101-0300</t>
  </si>
  <si>
    <t>40101-0500</t>
  </si>
  <si>
    <t>40101-0600</t>
  </si>
  <si>
    <t>40101-0700</t>
  </si>
  <si>
    <t>40101-0900</t>
  </si>
  <si>
    <t>40101-1000</t>
  </si>
  <si>
    <t>40101-1100</t>
  </si>
  <si>
    <t>40101-1300</t>
  </si>
  <si>
    <t>40101-1400</t>
  </si>
  <si>
    <t>40101-1500</t>
  </si>
  <si>
    <t>40101-5500</t>
  </si>
  <si>
    <t>40101-5600</t>
  </si>
  <si>
    <t>40101-5700</t>
  </si>
  <si>
    <t>40102-0100</t>
  </si>
  <si>
    <t>40102-0500</t>
  </si>
  <si>
    <t>40102-0900</t>
  </si>
  <si>
    <t>40102-1300</t>
  </si>
  <si>
    <t>40102-5500</t>
  </si>
  <si>
    <t>ASPHALT CONCRETE PAVEMENT, GYRATORY MIX, NO. 4 SIEVE NOMINAL MAXIMUM SIZE AGGREGATE, &lt;0.3 MILLION ESAL</t>
  </si>
  <si>
    <t>ASPHALT CONCRETE PAVEMENT, GYRATORY MIX, 3/8-INCH NOMINAL MAXIMUM SIZE AGGREGATE, &lt;0.3 MILLION ESAL</t>
  </si>
  <si>
    <t>ASPHALT CONCRETE PAVEMENT, GYRATORY MIX, 3/8-INCH NOMINAL MAXIMUM SIZE AGGREGATE, 0.3 TO &lt;3 MILLION ESAL</t>
  </si>
  <si>
    <t>ASPHALT CONCRETE PAVEMENT, GYRATORY MIX, 3/8-INCH NOMINAL MAXIMUM SIZE AGGREGATE, 3 TO &lt;30 MILLION ESAL</t>
  </si>
  <si>
    <t>ASPHALT CONCRETE PAVEMENT, GYRATORY MIX, 1/2-INCH NOMINAL MAXIMUM SIZE AGGREGATE, &lt;0.3 MILLION ESAL</t>
  </si>
  <si>
    <t>ASPHALT CONCRETE PAVEMENT, GYRATORY MIX, 1/2-INCH NOMINAL MAXIMUM SIZE AGGREGATE, 0.3 TO &lt;3 MILLION ESAL</t>
  </si>
  <si>
    <t>ASPHALT CONCRETE PAVEMENT, GYRATORY MIX, 1/2-INCH NOMINAL MAXIMUM SIZE AGGREGATE, 3 TO &lt;30 MILLION ESAL</t>
  </si>
  <si>
    <t>ASPHALT CONCRETE PAVEMENT, GYRATORY MIX, 3/4-INCH NOMINAL MAXIMUM SIZE AGGREGATE, &lt;0.3 MILLION ESAL</t>
  </si>
  <si>
    <t>ASPHALT CONCRETE PAVEMENT, GYRATORY MIX, 3/4-INCH NOMINAL MAXIMUM SIZE AGGREGATE, 0.3 TO &lt;3 MILLION ESAL</t>
  </si>
  <si>
    <t>ASPHALT CONCRETE PAVEMENT, GYRATORY MIX, 3/4-INCH NOMINAL MAXIMUM SIZE AGGREGATE, 3 TO &lt;30 MILLION ESAL</t>
  </si>
  <si>
    <t>ASPHALT CONCRETE PAVEMENT, GYRATORY MIX, 1-INCH NOMINAL MAXIMUM SIZE AGGREGATE, &lt;0.3 MILLION ESAL</t>
  </si>
  <si>
    <t>ASPHALT CONCRETE PAVEMENT, GYRATORY MIX, 1-INCH NOMINAL MAXIMUM SIZE AGGREGATE, 0.3 TO &lt;3 MILLION ESAL</t>
  </si>
  <si>
    <t>ASPHALT CONCRETE PAVEMENT, GYRATORY MIX, 1-INCH NOMINAL MAXIMUM SIZE AGGREGATE, 3 TO &lt;30 MILLION ESAL</t>
  </si>
  <si>
    <t>ASPHALT CONCRETE PAVEMENT, GYRATORY MIX, 1/2-INCH OR 3/4-INCH NOMINAL MAXIMUM SIZE AGGREGATE, &lt;0.3 MILLION ESAL</t>
  </si>
  <si>
    <t>ASPHALT CONCRETE PAVEMENT, GYRATORY MIX, 1/2-INCH OR 3/4-INCH NOMINAL MAXIMUM SIZE AGGREGATE, 0.3 TO &lt;3 MILLION ESAL</t>
  </si>
  <si>
    <t>ASPHALT CONCRETE PAVEMENT, GYRATORY MIX, 1/2-INCH OR 3/4-INCH NOMINAL MAXIMUM SIZE AGGREGATE, 3 TO &lt;30 MILLION ESAL</t>
  </si>
  <si>
    <t>ASPHALT CONCRETE PAVEMENT, GYRATORY MIX, 3/8-INCH NOMINAL MAXIMUM SIZE AGGREGATE, WEDGE AND LEVELING COURSE</t>
  </si>
  <si>
    <t>ASPHALT CONCRETE PAVEMENT, GYRATORY MIX, 1/2-INCH NOMINAL MAXIMUM SIZE AGGREGATE, WEDGE AND LEVELING COURSE</t>
  </si>
  <si>
    <t>ASPHALT CONCRETE PAVEMENT, GYRATORY MIX, 3/4-INCH NOMINAL MAXIMUM SIZE AGGREGATE, WEDGE AND LEVELING COURSE</t>
  </si>
  <si>
    <t>ASPHALT CONCRETE PAVEMENT, GYRATORY MIX, 1-INCH NOMINAL MAXIMUM SIZE AGGREGATE, WEDGE AND LEVELING COURSE</t>
  </si>
  <si>
    <t>ASPHALT CONCRETE PAVEMENT, GYRATORY MIX, 1/2-INCH OR 3/4-INCH NOMINAL MAXIMUM SIZE AGGREGATE, WEDGE AND LEVELING COURSE</t>
  </si>
  <si>
    <t>40201-0100</t>
  </si>
  <si>
    <t>40201-0200</t>
  </si>
  <si>
    <t>40201-0300</t>
  </si>
  <si>
    <t>40201-2500</t>
  </si>
  <si>
    <t>40201-2600</t>
  </si>
  <si>
    <t>40201-2700</t>
  </si>
  <si>
    <t>40202-0100</t>
  </si>
  <si>
    <t>40202-2500</t>
  </si>
  <si>
    <t>ASPHALT CONCRETE PAVEMENT, MARSHALL MIX, CLASS A</t>
  </si>
  <si>
    <t>ASPHALT CONCRETE PAVEMENT, MARSHALL MIX, CLASS B</t>
  </si>
  <si>
    <t>ASPHALT CONCRETE PAVEMENT, MARSHALL MIX, CLASS C</t>
  </si>
  <si>
    <t>ASPHALT CONCRETE PAVEMENT, HVEEM MIX, CLASS A</t>
  </si>
  <si>
    <t>ASPHALT CONCRETE PAVEMENT, HVEEM MIX, CLASS B</t>
  </si>
  <si>
    <t>ASPHALT CONCRETE PAVEMENT, HVEEM MIX, CLASS C</t>
  </si>
  <si>
    <t>ASPHALT CONCRETE PAVEMENT, MARSHALL MIX, WEDGE AND LEVELING COURSE</t>
  </si>
  <si>
    <t>ASPHALT CONCRETE PAVEMENT, HVEEM MIX, WEDGE AND LEVELING COURSE</t>
  </si>
  <si>
    <t>% Incentive</t>
  </si>
  <si>
    <t>* For large asphalt or grading projects expected to exceed one construction season, confirm the need for Asphalt Cement and/or Fuel Adjustment Incentives with the project team and then fill out the tables below.  In addition, you will need to add the Asphalt Cement or Fuel Adjustment Incentives Sections to the SCR.</t>
  </si>
  <si>
    <t xml:space="preserve">Option: </t>
  </si>
  <si>
    <t>EFLHD - Materials &amp; Roughness Incentives / Fuel Adjustments Worksheet</t>
  </si>
  <si>
    <t>FP Version:</t>
  </si>
  <si>
    <t xml:space="preserve"> (Fill out this form regardless of the project being qualified for incentives or not)</t>
  </si>
  <si>
    <t xml:space="preserve">       Project Name:</t>
  </si>
  <si>
    <t xml:space="preserve">Project Number:  </t>
  </si>
  <si>
    <t xml:space="preserve"> Units:</t>
  </si>
  <si>
    <r>
      <t xml:space="preserve">Acquisition Incentive Summary tab:
</t>
    </r>
    <r>
      <rPr>
        <sz val="11"/>
        <color theme="1"/>
        <rFont val="Times New Roman"/>
        <family val="1"/>
      </rPr>
      <t xml:space="preserve">This tab is to be done by Acquisition. It allows for ACQ to fill out the incentives and adjustments for the awarded bids to ensure there is enough money obligated on the PR. 
</t>
    </r>
    <r>
      <rPr>
        <b/>
        <sz val="11"/>
        <color theme="1"/>
        <rFont val="Times New Roman"/>
        <family val="1"/>
      </rPr>
      <t>Bid Amount:</t>
    </r>
    <r>
      <rPr>
        <sz val="11"/>
        <color theme="1"/>
        <rFont val="Times New Roman"/>
        <family val="1"/>
      </rPr>
      <t xml:space="preserve"> is the final awarded amount from the bid opening.
</t>
    </r>
    <r>
      <rPr>
        <b/>
        <sz val="11"/>
        <color theme="1"/>
        <rFont val="Times New Roman"/>
        <family val="1"/>
      </rPr>
      <t>15401 Gov. Lab Trailer</t>
    </r>
    <r>
      <rPr>
        <sz val="11"/>
        <color theme="1"/>
        <rFont val="Times New Roman"/>
        <family val="1"/>
      </rPr>
      <t xml:space="preserve"> - is to allow for the rental of the Government Laboratory Trailer. Work with COE and Construction Branch for Lab Trailer costs and SCR 154 when needed to account for this if necessary.</t>
    </r>
  </si>
  <si>
    <r>
      <rPr>
        <b/>
        <u/>
        <sz val="11"/>
        <color theme="1"/>
        <rFont val="Times New Roman"/>
        <family val="1"/>
      </rPr>
      <t>Purpose:</t>
    </r>
    <r>
      <rPr>
        <u/>
        <sz val="11"/>
        <color theme="1"/>
        <rFont val="Times New Roman"/>
        <family val="1"/>
      </rPr>
      <t xml:space="preserve">  </t>
    </r>
    <r>
      <rPr>
        <sz val="11"/>
        <color theme="1"/>
        <rFont val="Times New Roman"/>
        <family val="1"/>
      </rPr>
      <t xml:space="preserve">
Use for calculating the material incentives for pay items that currently allow for incentives and fuel adjustments to be 
made. </t>
    </r>
    <r>
      <rPr>
        <b/>
        <sz val="11"/>
        <color rgb="FFFF0000"/>
        <rFont val="Times New Roman"/>
        <family val="1"/>
      </rPr>
      <t>The spreasheet must be completed and submitted regardless of a project being qualified for incentives or not.</t>
    </r>
    <r>
      <rPr>
        <sz val="11"/>
        <color theme="1"/>
        <rFont val="Times New Roman"/>
        <family val="1"/>
      </rPr>
      <t xml:space="preserve"> 
- Fill out the yellow box to the right of the Instructions and this information will self populate on the individual sheets.
- Start with "Sch A" sheet and continue as needed for all schedules.  </t>
    </r>
    <r>
      <rPr>
        <b/>
        <sz val="11"/>
        <color theme="1"/>
        <rFont val="Times New Roman"/>
        <family val="1"/>
      </rPr>
      <t xml:space="preserve">Each Schedule needs a separate incentive sheet.  
</t>
    </r>
    <r>
      <rPr>
        <sz val="11"/>
        <color theme="1"/>
        <rFont val="Times New Roman"/>
        <family val="1"/>
      </rPr>
      <t>- Select Schedule type (Schedule or Option) and Schedule Letter (A, B, C, etc..) in each "SCH..." tab.</t>
    </r>
  </si>
  <si>
    <r>
      <rPr>
        <b/>
        <u/>
        <sz val="11"/>
        <color theme="1"/>
        <rFont val="Times New Roman"/>
        <family val="1"/>
      </rPr>
      <t>Incentives Sheets (Schedule Tabs) &amp; Input Sheets (InputSch Tabs):</t>
    </r>
    <r>
      <rPr>
        <sz val="11"/>
        <color theme="1"/>
        <rFont val="Times New Roman"/>
        <family val="1"/>
      </rPr>
      <t xml:space="preserve">
- Each "SCH..." tab consists of Materials Incentives, Roughness Incentives, and Fuel Adjustment Sections.
- Read Notes 1 through 5 for the minimum treshholds for which the Materials and Roughness Incentives are warranted on the project and for additional information. 
- Select pay items, and enter quantities and unit prices in "SCH..." tab for each schedule.
</t>
    </r>
    <r>
      <rPr>
        <sz val="11"/>
        <color rgb="FF00B0F0"/>
        <rFont val="Times New Roman"/>
        <family val="1"/>
      </rPr>
      <t>- If the "Q_Ton_Unit_Price" cell highlights in red, that means enough information is not known to complete the calculation.  Please ensure quantity and unit price are entered in the correct cell, or visit the "InputSch..." tab to review the pay item and follow the instructions to add any missing information.</t>
    </r>
    <r>
      <rPr>
        <sz val="11"/>
        <color theme="1"/>
        <rFont val="Times New Roman"/>
        <family val="1"/>
      </rPr>
      <t xml:space="preserve"> 
</t>
    </r>
    <r>
      <rPr>
        <sz val="11"/>
        <color rgb="FF00B0F0"/>
        <rFont val="Times New Roman"/>
        <family val="1"/>
      </rPr>
      <t>- If using the same pay item more than once, go into the inputSch tab and copy the row of the existing pay item and then insert a duplicate row.  Then provide a unique pay item number to each.  Such as 30101-3000 would become 30101-3000A and 30101-3000B</t>
    </r>
    <r>
      <rPr>
        <sz val="11"/>
        <color theme="1"/>
        <rFont val="Times New Roman"/>
        <family val="1"/>
      </rPr>
      <t xml:space="preserve">
- See additional instructions in "InputSch..." tabs for pay items that do not have a formula set up if applicable to the project, or work with the PDMA. 
</t>
    </r>
    <r>
      <rPr>
        <b/>
        <sz val="11"/>
        <color theme="1"/>
        <rFont val="Times New Roman"/>
        <family val="1"/>
      </rPr>
      <t xml:space="preserve">- % Incentives &amp; Incentives unit price (Q_Ton Unit Price): </t>
    </r>
    <r>
      <rPr>
        <sz val="11"/>
        <color theme="1"/>
        <rFont val="Times New Roman"/>
        <family val="1"/>
      </rPr>
      <t xml:space="preserve"> The incentive unit price percentage is based on the pay item quantity. </t>
    </r>
    <r>
      <rPr>
        <b/>
        <sz val="11"/>
        <color rgb="FFFF0000"/>
        <rFont val="Times New Roman"/>
        <family val="1"/>
      </rPr>
      <t xml:space="preserve">The designer must take a note of what the applied percentage (% Incentives column) is AND the calculated incentive unit price and use them when adding material incentives in EEBACS.  </t>
    </r>
    <r>
      <rPr>
        <sz val="11"/>
        <color theme="1"/>
        <rFont val="Times New Roman"/>
        <family val="1"/>
      </rPr>
      <t xml:space="preserve">
- </t>
    </r>
    <r>
      <rPr>
        <b/>
        <sz val="11"/>
        <color theme="1"/>
        <rFont val="Times New Roman"/>
        <family val="1"/>
      </rPr>
      <t>Materials  and Roughness Incentive</t>
    </r>
    <r>
      <rPr>
        <sz val="11"/>
        <color theme="1"/>
        <rFont val="Times New Roman"/>
        <family val="1"/>
      </rPr>
      <t xml:space="preserve"> percentages are set based on the Specifications and are set per Item. The notes on the page show how the unit prices and the Incentive Amounts are calculated.
- The FP is automatically loaded and the materials incentives are corrected for the approperiate pay item numbers and calculations, so do not adjust the calculations or factors. 
- </t>
    </r>
    <r>
      <rPr>
        <b/>
        <sz val="11"/>
        <color theme="1"/>
        <rFont val="Times New Roman"/>
        <family val="1"/>
      </rPr>
      <t>Asphalt Cement &amp; Fuel Price Adjustment</t>
    </r>
    <r>
      <rPr>
        <sz val="11"/>
        <color theme="1"/>
        <rFont val="Times New Roman"/>
        <family val="1"/>
      </rPr>
      <t xml:space="preserve">  work with Construction and the COE to deteremine if the project will need to incorporate these adjustments. </t>
    </r>
    <r>
      <rPr>
        <b/>
        <sz val="11"/>
        <color rgb="FFFF0000"/>
        <rFont val="Times New Roman"/>
        <family val="1"/>
      </rPr>
      <t>This is typically needed for large asphalt or grading projects expected to exceed one construction season. Confirm the need for Asphalt Cement and/or Fuel Adjustment Incentives with the project team and then fill out the tables under  "109.06-Pricing Adjustments FUEL" section.  In addition, work with DST for the 109 SCRs needed for Asphalt Cement or Fuel Adjustment Incentives.</t>
    </r>
  </si>
  <si>
    <t>EFL-TM-ESS-01(10)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</si>
</sst>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0"/>
    <numFmt numFmtId="166" formatCode="&quot;Rev. &quot;m/d/yyyy"/>
    <numFmt numFmtId="167" formatCode="&quot;$&quot;#,##0"/>
    <numFmt numFmtId="168" formatCode="#,##0.0"/>
    <numFmt numFmtId="169" formatCode="0.0%"/>
  </numFmts>
  <fonts count="44" x14ac:knownFonts="1">
    <font>
      <sz val="11"/>
      <color theme="1"/>
      <name val="Calibri"/>
      <family val="2"/>
      <scheme val="minor"/>
    </font>
    <font>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sz val="6"/>
      <color theme="1"/>
      <name val="Arial"/>
      <family val="2"/>
    </font>
    <font>
      <b/>
      <sz val="14"/>
      <color theme="1"/>
      <name val="Arial"/>
      <family val="2"/>
    </font>
    <font>
      <sz val="10"/>
      <color rgb="FFFF0000"/>
      <name val="Arial"/>
      <family val="2"/>
    </font>
    <font>
      <b/>
      <sz val="10"/>
      <name val="Arial"/>
      <family val="2"/>
    </font>
    <font>
      <sz val="8"/>
      <color theme="1"/>
      <name val="Arial"/>
      <family val="2"/>
    </font>
    <font>
      <b/>
      <sz val="11"/>
      <color theme="1"/>
      <name val="Calibri"/>
      <family val="2"/>
      <scheme val="minor"/>
    </font>
    <font>
      <sz val="8"/>
      <name val="Arial"/>
      <family val="2"/>
    </font>
    <font>
      <sz val="9"/>
      <name val="Arial"/>
      <family val="2"/>
    </font>
    <font>
      <sz val="7"/>
      <name val="Arial"/>
      <family val="2"/>
    </font>
    <font>
      <sz val="9"/>
      <color theme="1"/>
      <name val="Arial"/>
      <family val="2"/>
    </font>
    <font>
      <b/>
      <sz val="9"/>
      <color theme="1"/>
      <name val="Arial"/>
      <family val="2"/>
    </font>
    <font>
      <sz val="11"/>
      <color rgb="FFFF0000"/>
      <name val="Calibri"/>
      <family val="2"/>
      <scheme val="minor"/>
    </font>
    <font>
      <b/>
      <sz val="9"/>
      <name val="Arial"/>
      <family val="2"/>
    </font>
    <font>
      <b/>
      <sz val="10"/>
      <color rgb="FFFF0000"/>
      <name val="Arial"/>
      <family val="2"/>
    </font>
    <font>
      <sz val="11"/>
      <name val="Calibri"/>
      <family val="2"/>
      <scheme val="minor"/>
    </font>
    <font>
      <b/>
      <u/>
      <sz val="10"/>
      <color theme="1"/>
      <name val="Arial"/>
      <family val="2"/>
    </font>
    <font>
      <sz val="9"/>
      <color indexed="81"/>
      <name val="Tahoma"/>
      <family val="2"/>
    </font>
    <font>
      <b/>
      <sz val="9"/>
      <color indexed="81"/>
      <name val="Tahoma"/>
      <family val="2"/>
    </font>
    <font>
      <b/>
      <sz val="11"/>
      <name val="Arial"/>
      <family val="2"/>
    </font>
    <font>
      <sz val="7"/>
      <color theme="1"/>
      <name val="Arial"/>
      <family val="2"/>
    </font>
    <font>
      <b/>
      <vertAlign val="superscript"/>
      <sz val="8"/>
      <color theme="1"/>
      <name val="Arial"/>
      <family val="2"/>
    </font>
    <font>
      <b/>
      <sz val="8"/>
      <color theme="1"/>
      <name val="Arial"/>
      <family val="2"/>
    </font>
    <font>
      <sz val="8"/>
      <color rgb="FFFF0000"/>
      <name val="Arial"/>
      <family val="2"/>
    </font>
    <font>
      <b/>
      <vertAlign val="superscript"/>
      <sz val="12"/>
      <color rgb="FFFF0000"/>
      <name val="Arial"/>
      <family val="2"/>
    </font>
    <font>
      <b/>
      <sz val="11"/>
      <color rgb="FFFF0000"/>
      <name val="Arial"/>
      <family val="2"/>
    </font>
    <font>
      <sz val="10"/>
      <color theme="1"/>
      <name val="Arial Narrow"/>
      <family val="2"/>
    </font>
    <font>
      <b/>
      <sz val="10"/>
      <color theme="0"/>
      <name val="Arial Narrow"/>
      <family val="2"/>
    </font>
    <font>
      <sz val="10"/>
      <color indexed="8"/>
      <name val="Arial Narrow"/>
      <family val="2"/>
    </font>
    <font>
      <sz val="11"/>
      <color theme="1"/>
      <name val="Times New Roman"/>
      <family val="1"/>
    </font>
    <font>
      <b/>
      <sz val="16"/>
      <color theme="1"/>
      <name val="Times New Roman"/>
      <family val="1"/>
    </font>
    <font>
      <b/>
      <sz val="10"/>
      <name val="Verdana"/>
      <family val="2"/>
    </font>
    <font>
      <b/>
      <u/>
      <sz val="11"/>
      <color theme="1"/>
      <name val="Times New Roman"/>
      <family val="1"/>
    </font>
    <font>
      <u/>
      <sz val="11"/>
      <color theme="1"/>
      <name val="Times New Roman"/>
      <family val="1"/>
    </font>
    <font>
      <b/>
      <sz val="11"/>
      <color rgb="FFFF0000"/>
      <name val="Times New Roman"/>
      <family val="1"/>
    </font>
    <font>
      <b/>
      <sz val="11"/>
      <color theme="1"/>
      <name val="Times New Roman"/>
      <family val="1"/>
    </font>
    <font>
      <sz val="11"/>
      <color rgb="FF00B0F0"/>
      <name val="Times New Roman"/>
      <family val="1"/>
    </font>
    <font>
      <sz val="9"/>
      <color indexed="81"/>
      <name val="Tahoma"/>
      <charset val="1"/>
    </font>
    <font>
      <b/>
      <sz val="9"/>
      <color indexed="81"/>
      <name val="Tahoma"/>
      <charset val="1"/>
    </font>
  </fonts>
  <fills count="18">
    <fill>
      <patternFill patternType="none"/>
    </fill>
    <fill>
      <patternFill patternType="gray125"/>
    </fill>
    <fill>
      <patternFill patternType="solid">
        <fgColor theme="2" tint="-9.9948118533890809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DD9C4"/>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6337778862885"/>
        <bgColor indexed="64"/>
      </patternFill>
    </fill>
    <fill>
      <patternFill patternType="solid">
        <fgColor theme="0"/>
        <bgColor indexed="64"/>
      </patternFill>
    </fill>
    <fill>
      <patternFill patternType="solid">
        <fgColor theme="0" tint="-0.14999847407452621"/>
        <bgColor theme="0" tint="-0.14999847407452621"/>
      </patternFill>
    </fill>
    <fill>
      <patternFill patternType="solid">
        <fgColor theme="8" tint="0.39997558519241921"/>
        <bgColor theme="4"/>
      </patternFill>
    </fill>
    <fill>
      <patternFill patternType="solid">
        <fgColor indexed="13"/>
        <bgColor indexed="64"/>
      </patternFill>
    </fill>
  </fills>
  <borders count="26">
    <border>
      <left/>
      <right/>
      <top/>
      <bottom/>
      <diagonal/>
    </border>
    <border>
      <left/>
      <right/>
      <top/>
      <bottom style="double">
        <color auto="1"/>
      </bottom>
      <diagonal/>
    </border>
    <border>
      <left/>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top style="double">
        <color auto="1"/>
      </top>
      <bottom/>
      <diagonal/>
    </border>
  </borders>
  <cellStyleXfs count="4">
    <xf numFmtId="0" fontId="0" fillId="0" borderId="0"/>
    <xf numFmtId="0" fontId="1" fillId="2" borderId="0"/>
    <xf numFmtId="0" fontId="4" fillId="0" borderId="0"/>
    <xf numFmtId="0" fontId="5" fillId="0" borderId="0"/>
  </cellStyleXfs>
  <cellXfs count="407">
    <xf numFmtId="0" fontId="0" fillId="0" borderId="0" xfId="0"/>
    <xf numFmtId="164" fontId="3" fillId="3" borderId="0" xfId="0" applyNumberFormat="1" applyFont="1" applyFill="1" applyAlignment="1" applyProtection="1">
      <alignment horizontal="left"/>
      <protection locked="0"/>
    </xf>
    <xf numFmtId="164" fontId="3" fillId="3" borderId="0" xfId="0" applyNumberFormat="1" applyFont="1" applyFill="1" applyProtection="1">
      <protection locked="0"/>
    </xf>
    <xf numFmtId="3" fontId="3" fillId="3" borderId="0" xfId="0" applyNumberFormat="1" applyFont="1" applyFill="1" applyAlignment="1" applyProtection="1">
      <alignment horizontal="center"/>
      <protection locked="0"/>
    </xf>
    <xf numFmtId="164" fontId="3" fillId="3" borderId="0" xfId="0" applyNumberFormat="1" applyFont="1" applyFill="1" applyAlignment="1" applyProtection="1">
      <alignment horizontal="center"/>
      <protection locked="0"/>
    </xf>
    <xf numFmtId="165" fontId="3" fillId="3" borderId="0" xfId="0" applyNumberFormat="1" applyFont="1" applyFill="1" applyAlignment="1" applyProtection="1">
      <alignment horizontal="center"/>
      <protection locked="0"/>
    </xf>
    <xf numFmtId="0" fontId="4" fillId="6" borderId="0" xfId="0" applyFont="1" applyFill="1" applyProtection="1"/>
    <xf numFmtId="0" fontId="4" fillId="0" borderId="0" xfId="0" applyFont="1" applyFill="1" applyProtection="1"/>
    <xf numFmtId="3" fontId="4" fillId="0" borderId="0" xfId="0" applyNumberFormat="1" applyFont="1" applyFill="1" applyProtection="1"/>
    <xf numFmtId="164" fontId="4" fillId="0" borderId="0" xfId="0" applyNumberFormat="1" applyFont="1" applyFill="1" applyProtection="1"/>
    <xf numFmtId="3" fontId="8" fillId="0" borderId="0" xfId="0" applyNumberFormat="1" applyFont="1" applyFill="1" applyProtection="1"/>
    <xf numFmtId="0" fontId="4" fillId="0" borderId="0" xfId="0" applyFont="1" applyFill="1" applyAlignment="1" applyProtection="1">
      <alignment horizontal="right"/>
    </xf>
    <xf numFmtId="3" fontId="3" fillId="0" borderId="0" xfId="0" applyNumberFormat="1" applyFont="1" applyFill="1" applyProtection="1"/>
    <xf numFmtId="164" fontId="3" fillId="0" borderId="0" xfId="0" applyNumberFormat="1" applyFont="1" applyFill="1" applyProtection="1"/>
    <xf numFmtId="164" fontId="4" fillId="0" borderId="0" xfId="0" applyNumberFormat="1" applyFont="1" applyFill="1" applyAlignment="1" applyProtection="1">
      <alignment horizontal="right"/>
    </xf>
    <xf numFmtId="14" fontId="4" fillId="0" borderId="0" xfId="0" applyNumberFormat="1" applyFont="1" applyFill="1" applyAlignment="1" applyProtection="1">
      <alignment horizontal="left"/>
    </xf>
    <xf numFmtId="0" fontId="3" fillId="0" borderId="0" xfId="0" applyFont="1" applyFill="1" applyBorder="1" applyAlignment="1" applyProtection="1">
      <alignment horizontal="left"/>
    </xf>
    <xf numFmtId="164" fontId="3" fillId="0" borderId="0" xfId="0" applyNumberFormat="1" applyFont="1" applyFill="1" applyAlignment="1" applyProtection="1">
      <alignment horizontal="left"/>
    </xf>
    <xf numFmtId="0" fontId="4" fillId="0" borderId="0" xfId="0" applyFont="1" applyFill="1" applyBorder="1" applyAlignment="1" applyProtection="1">
      <alignment horizontal="center"/>
    </xf>
    <xf numFmtId="0" fontId="4" fillId="0" borderId="1" xfId="0" applyFont="1" applyFill="1" applyBorder="1" applyAlignment="1" applyProtection="1">
      <alignment horizontal="center"/>
    </xf>
    <xf numFmtId="0" fontId="4" fillId="0" borderId="1" xfId="0" applyFont="1" applyFill="1" applyBorder="1" applyAlignment="1" applyProtection="1">
      <alignment horizontal="left"/>
    </xf>
    <xf numFmtId="164" fontId="4" fillId="0" borderId="1" xfId="0" applyNumberFormat="1" applyFont="1" applyFill="1" applyBorder="1" applyAlignment="1" applyProtection="1">
      <alignment horizontal="center"/>
    </xf>
    <xf numFmtId="3" fontId="4" fillId="0" borderId="1" xfId="0" applyNumberFormat="1" applyFont="1" applyFill="1" applyBorder="1" applyAlignment="1" applyProtection="1">
      <alignment horizontal="center"/>
    </xf>
    <xf numFmtId="0" fontId="4" fillId="0" borderId="0" xfId="0" applyFont="1" applyFill="1" applyAlignment="1" applyProtection="1">
      <alignment horizontal="center"/>
    </xf>
    <xf numFmtId="0" fontId="4" fillId="0" borderId="0" xfId="0" applyFont="1" applyFill="1" applyAlignment="1" applyProtection="1">
      <alignment horizontal="left"/>
    </xf>
    <xf numFmtId="3" fontId="3"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164" fontId="3" fillId="0" borderId="0" xfId="0" applyNumberFormat="1" applyFont="1" applyFill="1" applyAlignment="1" applyProtection="1">
      <alignment horizontal="center"/>
    </xf>
    <xf numFmtId="0" fontId="4" fillId="6" borderId="0" xfId="0" applyFont="1" applyFill="1" applyAlignment="1" applyProtection="1"/>
    <xf numFmtId="164" fontId="9" fillId="0" borderId="0" xfId="0" applyNumberFormat="1" applyFont="1" applyFill="1" applyAlignment="1" applyProtection="1">
      <alignment horizontal="center"/>
    </xf>
    <xf numFmtId="0" fontId="5" fillId="6" borderId="0" xfId="0" applyFont="1" applyFill="1" applyProtection="1"/>
    <xf numFmtId="0" fontId="5" fillId="0" borderId="0" xfId="0" applyFont="1" applyFill="1" applyAlignment="1" applyProtection="1">
      <alignment horizontal="right"/>
    </xf>
    <xf numFmtId="164" fontId="5" fillId="0" borderId="0" xfId="0" applyNumberFormat="1" applyFont="1" applyFill="1" applyAlignment="1" applyProtection="1">
      <alignment horizontal="center"/>
    </xf>
    <xf numFmtId="165" fontId="3" fillId="0" borderId="0" xfId="0" applyNumberFormat="1" applyFont="1" applyFill="1" applyAlignment="1" applyProtection="1">
      <alignment horizontal="center"/>
    </xf>
    <xf numFmtId="164" fontId="9" fillId="0" borderId="0" xfId="2" applyNumberFormat="1" applyFont="1" applyFill="1" applyAlignment="1" applyProtection="1">
      <alignment horizontal="center"/>
    </xf>
    <xf numFmtId="166" fontId="6" fillId="0" borderId="0" xfId="2" applyNumberFormat="1" applyFont="1" applyFill="1" applyAlignment="1" applyProtection="1">
      <alignment horizontal="center"/>
    </xf>
    <xf numFmtId="0" fontId="6" fillId="0" borderId="0" xfId="2" applyFont="1" applyFill="1" applyAlignment="1" applyProtection="1">
      <alignment horizontal="center"/>
    </xf>
    <xf numFmtId="3" fontId="4" fillId="6" borderId="0" xfId="0" applyNumberFormat="1" applyFont="1" applyFill="1" applyProtection="1"/>
    <xf numFmtId="164" fontId="4" fillId="6" borderId="0" xfId="0" applyNumberFormat="1" applyFont="1" applyFill="1" applyProtection="1"/>
    <xf numFmtId="0" fontId="10" fillId="0" borderId="0" xfId="0" applyFont="1" applyFill="1" applyAlignment="1" applyProtection="1">
      <alignment horizontal="right"/>
    </xf>
    <xf numFmtId="0" fontId="10" fillId="0" borderId="0" xfId="0" applyFont="1" applyFill="1" applyProtection="1"/>
    <xf numFmtId="0" fontId="3" fillId="7" borderId="0" xfId="0" applyFont="1" applyFill="1" applyBorder="1" applyAlignment="1" applyProtection="1">
      <alignment horizontal="left"/>
      <protection locked="0"/>
    </xf>
    <xf numFmtId="3" fontId="3" fillId="7" borderId="0" xfId="0" applyNumberFormat="1" applyFont="1" applyFill="1" applyProtection="1">
      <protection locked="0"/>
    </xf>
    <xf numFmtId="0" fontId="4" fillId="0" borderId="0" xfId="0" applyFont="1" applyFill="1" applyBorder="1" applyAlignment="1" applyProtection="1">
      <alignment horizontal="left"/>
    </xf>
    <xf numFmtId="164" fontId="4" fillId="0" borderId="0" xfId="0" applyNumberFormat="1" applyFont="1" applyFill="1" applyBorder="1" applyAlignment="1" applyProtection="1">
      <alignment horizontal="center"/>
    </xf>
    <xf numFmtId="3" fontId="4" fillId="0" borderId="0" xfId="0" applyNumberFormat="1" applyFont="1" applyFill="1" applyBorder="1" applyAlignment="1" applyProtection="1">
      <alignment horizontal="center"/>
    </xf>
    <xf numFmtId="0" fontId="4" fillId="0" borderId="0" xfId="0" applyFont="1" applyFill="1" applyBorder="1" applyProtection="1"/>
    <xf numFmtId="3" fontId="4" fillId="0" borderId="0" xfId="0" applyNumberFormat="1" applyFont="1" applyFill="1" applyBorder="1" applyProtection="1"/>
    <xf numFmtId="164" fontId="4" fillId="0" borderId="0" xfId="0" applyNumberFormat="1" applyFont="1" applyFill="1" applyBorder="1" applyProtection="1"/>
    <xf numFmtId="0" fontId="5" fillId="0" borderId="0" xfId="0" applyFont="1" applyFill="1" applyBorder="1" applyAlignment="1" applyProtection="1">
      <alignment horizontal="right"/>
    </xf>
    <xf numFmtId="164" fontId="5" fillId="0" borderId="0" xfId="0" applyNumberFormat="1" applyFont="1" applyFill="1" applyBorder="1" applyAlignment="1" applyProtection="1">
      <alignment horizontal="center"/>
    </xf>
    <xf numFmtId="165" fontId="3" fillId="0" borderId="0" xfId="0" applyNumberFormat="1" applyFont="1" applyFill="1" applyBorder="1" applyAlignment="1" applyProtection="1">
      <alignment horizontal="center"/>
    </xf>
    <xf numFmtId="166" fontId="6" fillId="0" borderId="0" xfId="2" applyNumberFormat="1" applyFont="1" applyFill="1" applyBorder="1" applyAlignment="1" applyProtection="1">
      <alignment horizontal="center"/>
    </xf>
    <xf numFmtId="0" fontId="6" fillId="0" borderId="0" xfId="2" applyFont="1" applyFill="1" applyBorder="1" applyAlignment="1" applyProtection="1">
      <alignment horizontal="center"/>
    </xf>
    <xf numFmtId="0" fontId="10" fillId="0" borderId="0" xfId="0" applyFont="1" applyFill="1" applyBorder="1" applyAlignment="1" applyProtection="1">
      <alignment horizontal="right"/>
    </xf>
    <xf numFmtId="0" fontId="10" fillId="0" borderId="0" xfId="0" applyFont="1" applyFill="1" applyBorder="1" applyProtection="1"/>
    <xf numFmtId="0" fontId="3" fillId="5" borderId="4"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5" xfId="0" applyFont="1" applyFill="1" applyBorder="1" applyAlignment="1" applyProtection="1">
      <alignment horizontal="center"/>
    </xf>
    <xf numFmtId="164" fontId="4" fillId="5" borderId="5" xfId="0" applyNumberFormat="1" applyFont="1" applyFill="1" applyBorder="1" applyAlignment="1" applyProtection="1">
      <alignment horizontal="center"/>
    </xf>
    <xf numFmtId="3" fontId="4" fillId="5" borderId="5" xfId="0" applyNumberFormat="1" applyFont="1" applyFill="1" applyBorder="1" applyAlignment="1" applyProtection="1">
      <alignment horizontal="center"/>
    </xf>
    <xf numFmtId="164" fontId="4" fillId="5" borderId="6" xfId="0" applyNumberFormat="1" applyFont="1" applyFill="1" applyBorder="1" applyAlignment="1" applyProtection="1">
      <alignment horizontal="center"/>
    </xf>
    <xf numFmtId="0" fontId="16" fillId="5" borderId="4" xfId="0" applyFont="1" applyFill="1" applyBorder="1" applyAlignment="1" applyProtection="1">
      <alignment horizontal="left"/>
    </xf>
    <xf numFmtId="0" fontId="12" fillId="5" borderId="5" xfId="0" applyFont="1" applyFill="1" applyBorder="1" applyAlignment="1" applyProtection="1">
      <alignment horizontal="left"/>
    </xf>
    <xf numFmtId="3" fontId="3" fillId="5" borderId="5" xfId="0" applyNumberFormat="1" applyFont="1" applyFill="1" applyBorder="1" applyAlignment="1" applyProtection="1">
      <alignment horizontal="center"/>
    </xf>
    <xf numFmtId="0" fontId="10" fillId="5" borderId="5" xfId="0" applyFont="1" applyFill="1" applyBorder="1" applyAlignment="1" applyProtection="1">
      <alignment horizontal="left"/>
    </xf>
    <xf numFmtId="4" fontId="4" fillId="5" borderId="6" xfId="0" applyNumberFormat="1" applyFont="1" applyFill="1" applyBorder="1" applyAlignment="1" applyProtection="1">
      <alignment horizontal="center"/>
    </xf>
    <xf numFmtId="0" fontId="18" fillId="5" borderId="4" xfId="0" applyFont="1" applyFill="1" applyBorder="1" applyAlignment="1" applyProtection="1">
      <alignment horizontal="left"/>
    </xf>
    <xf numFmtId="0" fontId="5" fillId="5" borderId="5" xfId="0" applyFont="1" applyFill="1" applyBorder="1" applyAlignment="1" applyProtection="1">
      <alignment horizontal="left"/>
    </xf>
    <xf numFmtId="0" fontId="13" fillId="0" borderId="0" xfId="0" applyFont="1" applyFill="1" applyBorder="1" applyAlignment="1" applyProtection="1">
      <alignment horizontal="center"/>
    </xf>
    <xf numFmtId="0" fontId="12" fillId="0" borderId="0" xfId="0" applyFont="1" applyFill="1" applyBorder="1" applyAlignment="1" applyProtection="1">
      <alignment horizontal="left"/>
    </xf>
    <xf numFmtId="3" fontId="19" fillId="5" borderId="5" xfId="0" applyNumberFormat="1" applyFont="1" applyFill="1" applyBorder="1" applyAlignment="1" applyProtection="1">
      <alignment horizontal="center"/>
    </xf>
    <xf numFmtId="3" fontId="19" fillId="0" borderId="0" xfId="0" applyNumberFormat="1" applyFont="1" applyFill="1" applyAlignment="1" applyProtection="1">
      <alignment horizontal="center"/>
    </xf>
    <xf numFmtId="164" fontId="8" fillId="0" borderId="0" xfId="0" applyNumberFormat="1" applyFont="1" applyFill="1" applyAlignment="1" applyProtection="1">
      <alignment horizontal="left"/>
    </xf>
    <xf numFmtId="3" fontId="9" fillId="3" borderId="0" xfId="0" applyNumberFormat="1" applyFont="1" applyFill="1" applyBorder="1" applyAlignment="1" applyProtection="1">
      <alignment horizontal="center"/>
      <protection locked="0"/>
    </xf>
    <xf numFmtId="0" fontId="17" fillId="0" borderId="0" xfId="0" applyFont="1"/>
    <xf numFmtId="0" fontId="0" fillId="8" borderId="7" xfId="0" applyFill="1" applyBorder="1" applyAlignment="1">
      <alignment horizontal="center" vertical="center"/>
    </xf>
    <xf numFmtId="4" fontId="5" fillId="5" borderId="6" xfId="0" applyNumberFormat="1" applyFont="1" applyFill="1" applyBorder="1" applyAlignment="1" applyProtection="1">
      <alignment horizontal="center"/>
    </xf>
    <xf numFmtId="0" fontId="5" fillId="5" borderId="5" xfId="0" applyFont="1" applyFill="1" applyBorder="1" applyAlignment="1" applyProtection="1">
      <alignment horizontal="center"/>
    </xf>
    <xf numFmtId="0" fontId="10" fillId="9" borderId="0" xfId="0" applyFont="1" applyFill="1" applyBorder="1" applyAlignment="1" applyProtection="1">
      <alignment horizontal="left"/>
    </xf>
    <xf numFmtId="0" fontId="12" fillId="9" borderId="0" xfId="0" applyFont="1" applyFill="1" applyBorder="1" applyAlignment="1" applyProtection="1">
      <alignment horizontal="left"/>
    </xf>
    <xf numFmtId="164" fontId="5" fillId="5" borderId="5" xfId="0" applyNumberFormat="1" applyFont="1" applyFill="1" applyBorder="1" applyAlignment="1" applyProtection="1">
      <alignment horizontal="center"/>
    </xf>
    <xf numFmtId="0" fontId="17" fillId="0" borderId="0" xfId="0" applyFont="1" applyFill="1"/>
    <xf numFmtId="164" fontId="8" fillId="0" borderId="0" xfId="0" applyNumberFormat="1" applyFont="1" applyFill="1" applyAlignment="1" applyProtection="1">
      <alignment horizontal="center"/>
    </xf>
    <xf numFmtId="0" fontId="13" fillId="9" borderId="13" xfId="0" applyFont="1" applyFill="1" applyBorder="1" applyAlignment="1" applyProtection="1">
      <alignment horizontal="center"/>
    </xf>
    <xf numFmtId="0" fontId="12" fillId="9" borderId="8" xfId="0" applyFont="1" applyFill="1" applyBorder="1" applyAlignment="1" applyProtection="1">
      <alignment horizontal="left"/>
    </xf>
    <xf numFmtId="0" fontId="0" fillId="9" borderId="8" xfId="0" applyFill="1" applyBorder="1"/>
    <xf numFmtId="0" fontId="0" fillId="9" borderId="8" xfId="0" applyFill="1" applyBorder="1" applyAlignment="1">
      <alignment horizontal="center"/>
    </xf>
    <xf numFmtId="0" fontId="0" fillId="9" borderId="14" xfId="0" applyFill="1" applyBorder="1"/>
    <xf numFmtId="0" fontId="13" fillId="9" borderId="11" xfId="0" applyFont="1" applyFill="1" applyBorder="1" applyAlignment="1" applyProtection="1">
      <alignment horizontal="center"/>
    </xf>
    <xf numFmtId="0" fontId="0" fillId="9" borderId="0" xfId="0" applyFill="1" applyBorder="1"/>
    <xf numFmtId="0" fontId="0" fillId="9" borderId="12" xfId="0" applyFill="1" applyBorder="1"/>
    <xf numFmtId="0" fontId="13" fillId="0" borderId="13" xfId="0" applyFont="1" applyFill="1" applyBorder="1" applyAlignment="1" applyProtection="1">
      <alignment horizontal="center"/>
    </xf>
    <xf numFmtId="0" fontId="12" fillId="0" borderId="8" xfId="0" applyFont="1" applyFill="1" applyBorder="1" applyAlignment="1" applyProtection="1">
      <alignment horizontal="left"/>
    </xf>
    <xf numFmtId="0" fontId="0" fillId="10" borderId="7" xfId="0" applyFill="1" applyBorder="1"/>
    <xf numFmtId="0" fontId="0" fillId="10" borderId="10" xfId="0" applyFill="1" applyBorder="1"/>
    <xf numFmtId="0" fontId="0" fillId="10" borderId="0" xfId="0" applyFill="1" applyBorder="1"/>
    <xf numFmtId="0" fontId="0" fillId="10" borderId="12" xfId="0" applyFill="1" applyBorder="1"/>
    <xf numFmtId="0" fontId="3" fillId="8" borderId="9" xfId="0" applyFont="1" applyFill="1" applyBorder="1" applyAlignment="1" applyProtection="1">
      <alignment horizontal="left"/>
    </xf>
    <xf numFmtId="0" fontId="0" fillId="8" borderId="7" xfId="0" applyFill="1" applyBorder="1"/>
    <xf numFmtId="0" fontId="0" fillId="8" borderId="7" xfId="0" applyFill="1" applyBorder="1" applyAlignment="1">
      <alignment horizontal="center"/>
    </xf>
    <xf numFmtId="0" fontId="0" fillId="8" borderId="10" xfId="0" applyFill="1" applyBorder="1"/>
    <xf numFmtId="2" fontId="10" fillId="8" borderId="11" xfId="0" applyNumberFormat="1" applyFont="1" applyFill="1" applyBorder="1" applyAlignment="1" applyProtection="1">
      <alignment horizontal="center"/>
    </xf>
    <xf numFmtId="0" fontId="10" fillId="8" borderId="0" xfId="0" applyFont="1" applyFill="1" applyBorder="1" applyAlignment="1" applyProtection="1">
      <alignment horizontal="left"/>
    </xf>
    <xf numFmtId="0" fontId="0" fillId="8" borderId="0" xfId="0" applyFill="1" applyBorder="1"/>
    <xf numFmtId="0" fontId="0" fillId="8" borderId="0" xfId="0" applyFill="1" applyBorder="1" applyAlignment="1">
      <alignment horizontal="center"/>
    </xf>
    <xf numFmtId="0" fontId="0" fillId="8" borderId="12" xfId="0" applyFill="1" applyBorder="1"/>
    <xf numFmtId="0" fontId="11" fillId="8" borderId="9" xfId="0" applyFont="1" applyFill="1" applyBorder="1"/>
    <xf numFmtId="0" fontId="10" fillId="8" borderId="11" xfId="0" applyFont="1" applyFill="1" applyBorder="1"/>
    <xf numFmtId="0" fontId="10" fillId="8" borderId="0" xfId="0" applyFont="1" applyFill="1" applyBorder="1"/>
    <xf numFmtId="0" fontId="10" fillId="8" borderId="13" xfId="0" applyFont="1" applyFill="1" applyBorder="1"/>
    <xf numFmtId="0" fontId="10" fillId="8" borderId="8" xfId="0" applyFont="1" applyFill="1" applyBorder="1"/>
    <xf numFmtId="0" fontId="0" fillId="8" borderId="8" xfId="0" applyFill="1" applyBorder="1"/>
    <xf numFmtId="0" fontId="0" fillId="8" borderId="8" xfId="0" applyFill="1" applyBorder="1" applyAlignment="1">
      <alignment horizontal="center"/>
    </xf>
    <xf numFmtId="0" fontId="0" fillId="8" borderId="14" xfId="0" applyFill="1" applyBorder="1"/>
    <xf numFmtId="0" fontId="16" fillId="8" borderId="9" xfId="0" applyFont="1" applyFill="1" applyBorder="1" applyAlignment="1" applyProtection="1">
      <alignment horizontal="left"/>
    </xf>
    <xf numFmtId="0" fontId="4" fillId="8" borderId="7" xfId="0" applyFont="1" applyFill="1" applyBorder="1" applyAlignment="1" applyProtection="1">
      <alignment horizontal="left"/>
    </xf>
    <xf numFmtId="0" fontId="15" fillId="8" borderId="11" xfId="0" applyFont="1" applyFill="1" applyBorder="1" applyAlignment="1" applyProtection="1">
      <alignment horizontal="center"/>
    </xf>
    <xf numFmtId="0" fontId="0" fillId="8" borderId="0" xfId="0" applyFill="1" applyBorder="1" applyAlignment="1">
      <alignment horizontal="center" vertical="center"/>
    </xf>
    <xf numFmtId="0" fontId="18" fillId="8" borderId="4" xfId="0" applyFont="1" applyFill="1" applyBorder="1" applyAlignment="1" applyProtection="1">
      <alignment horizontal="left"/>
    </xf>
    <xf numFmtId="0" fontId="5" fillId="8" borderId="5" xfId="0" applyFont="1" applyFill="1" applyBorder="1" applyAlignment="1" applyProtection="1">
      <alignment horizontal="left"/>
    </xf>
    <xf numFmtId="0" fontId="13" fillId="8" borderId="11" xfId="0" applyFont="1" applyFill="1" applyBorder="1" applyAlignment="1" applyProtection="1">
      <alignment horizontal="center"/>
    </xf>
    <xf numFmtId="0" fontId="12" fillId="8" borderId="0" xfId="0" applyFont="1" applyFill="1" applyBorder="1" applyAlignment="1" applyProtection="1">
      <alignment horizontal="left"/>
    </xf>
    <xf numFmtId="2" fontId="10" fillId="9" borderId="13" xfId="0" applyNumberFormat="1" applyFont="1" applyFill="1" applyBorder="1" applyAlignment="1" applyProtection="1">
      <alignment horizontal="center"/>
    </xf>
    <xf numFmtId="0" fontId="10" fillId="9" borderId="8" xfId="0" applyFont="1" applyFill="1" applyBorder="1" applyAlignment="1" applyProtection="1">
      <alignment horizontal="left"/>
    </xf>
    <xf numFmtId="0" fontId="14" fillId="9" borderId="8" xfId="3" applyFont="1" applyFill="1" applyBorder="1" applyAlignment="1">
      <alignment vertical="center"/>
    </xf>
    <xf numFmtId="0" fontId="5" fillId="8" borderId="7" xfId="0" applyFont="1" applyFill="1" applyBorder="1" applyAlignment="1" applyProtection="1">
      <alignment horizontal="left"/>
    </xf>
    <xf numFmtId="0" fontId="14" fillId="8" borderId="7" xfId="3" applyFont="1" applyFill="1" applyBorder="1" applyAlignment="1">
      <alignment vertical="center"/>
    </xf>
    <xf numFmtId="0" fontId="14" fillId="8" borderId="0" xfId="3" applyFont="1" applyFill="1" applyBorder="1" applyAlignment="1">
      <alignment vertical="center"/>
    </xf>
    <xf numFmtId="0" fontId="10" fillId="9" borderId="11" xfId="0" applyFont="1" applyFill="1" applyBorder="1"/>
    <xf numFmtId="0" fontId="10" fillId="9" borderId="0" xfId="0" applyFont="1" applyFill="1" applyBorder="1"/>
    <xf numFmtId="0" fontId="0" fillId="9" borderId="0" xfId="0" applyFill="1" applyBorder="1" applyAlignment="1">
      <alignment horizontal="center"/>
    </xf>
    <xf numFmtId="0" fontId="15" fillId="9" borderId="13" xfId="0" applyFont="1" applyFill="1" applyBorder="1" applyAlignment="1" applyProtection="1">
      <alignment horizontal="center"/>
    </xf>
    <xf numFmtId="0" fontId="0" fillId="9" borderId="8" xfId="0" applyFill="1" applyBorder="1" applyAlignment="1">
      <alignment horizontal="center" vertical="center"/>
    </xf>
    <xf numFmtId="0" fontId="15" fillId="9" borderId="11" xfId="0" applyFont="1" applyFill="1" applyBorder="1" applyAlignment="1" applyProtection="1">
      <alignment horizontal="center"/>
    </xf>
    <xf numFmtId="0" fontId="0" fillId="9" borderId="0" xfId="0" applyFill="1" applyBorder="1" applyAlignment="1">
      <alignment horizontal="center" vertical="center"/>
    </xf>
    <xf numFmtId="0" fontId="10" fillId="8" borderId="7" xfId="0" applyFont="1" applyFill="1" applyBorder="1" applyAlignment="1" applyProtection="1">
      <alignment horizontal="left"/>
    </xf>
    <xf numFmtId="0" fontId="17" fillId="0" borderId="0" xfId="0" applyFont="1" applyFill="1" applyBorder="1"/>
    <xf numFmtId="0" fontId="8" fillId="8" borderId="5" xfId="0" applyFont="1" applyFill="1" applyBorder="1" applyAlignment="1" applyProtection="1">
      <alignment horizontal="left"/>
    </xf>
    <xf numFmtId="0" fontId="13" fillId="8" borderId="13" xfId="0" applyFont="1" applyFill="1" applyBorder="1" applyAlignment="1" applyProtection="1">
      <alignment horizontal="center"/>
    </xf>
    <xf numFmtId="0" fontId="12" fillId="8" borderId="8" xfId="0" applyFont="1" applyFill="1" applyBorder="1" applyAlignment="1" applyProtection="1">
      <alignment horizontal="left"/>
    </xf>
    <xf numFmtId="0" fontId="18" fillId="10" borderId="4" xfId="0" applyFont="1" applyFill="1" applyBorder="1" applyAlignment="1" applyProtection="1">
      <alignment horizontal="left"/>
    </xf>
    <xf numFmtId="0" fontId="5" fillId="10" borderId="5" xfId="0" applyFont="1" applyFill="1" applyBorder="1" applyAlignment="1" applyProtection="1">
      <alignment horizontal="left"/>
    </xf>
    <xf numFmtId="0" fontId="13" fillId="10" borderId="11" xfId="0" applyFont="1" applyFill="1" applyBorder="1" applyAlignment="1" applyProtection="1">
      <alignment horizontal="center"/>
    </xf>
    <xf numFmtId="0" fontId="12" fillId="10" borderId="0" xfId="0" applyFont="1" applyFill="1" applyBorder="1" applyAlignment="1" applyProtection="1">
      <alignment horizontal="left"/>
    </xf>
    <xf numFmtId="0" fontId="13" fillId="10" borderId="13" xfId="0" applyFont="1" applyFill="1" applyBorder="1" applyAlignment="1" applyProtection="1">
      <alignment horizontal="center"/>
    </xf>
    <xf numFmtId="0" fontId="12" fillId="10" borderId="8" xfId="0" applyFont="1" applyFill="1" applyBorder="1" applyAlignment="1" applyProtection="1">
      <alignment horizontal="left"/>
    </xf>
    <xf numFmtId="0" fontId="20" fillId="9" borderId="8" xfId="0" applyFont="1" applyFill="1" applyBorder="1"/>
    <xf numFmtId="0" fontId="0" fillId="10" borderId="8" xfId="0" applyFill="1" applyBorder="1"/>
    <xf numFmtId="0" fontId="0" fillId="10" borderId="14" xfId="0" applyFill="1" applyBorder="1"/>
    <xf numFmtId="0" fontId="20" fillId="9" borderId="14" xfId="0" applyFont="1" applyFill="1" applyBorder="1"/>
    <xf numFmtId="164" fontId="8" fillId="0" borderId="0" xfId="0" applyNumberFormat="1" applyFont="1" applyFill="1" applyBorder="1" applyAlignment="1" applyProtection="1">
      <alignment horizontal="center"/>
    </xf>
    <xf numFmtId="0" fontId="3" fillId="0" borderId="0" xfId="0" applyFont="1" applyFill="1" applyBorder="1" applyAlignment="1" applyProtection="1">
      <alignment horizontal="left"/>
    </xf>
    <xf numFmtId="0" fontId="8" fillId="0" borderId="0" xfId="0" applyFont="1" applyFill="1" applyBorder="1" applyAlignment="1" applyProtection="1">
      <alignment horizontal="center"/>
    </xf>
    <xf numFmtId="0" fontId="0" fillId="0" borderId="8" xfId="0" applyBorder="1"/>
    <xf numFmtId="0" fontId="0" fillId="0" borderId="14" xfId="0" applyBorder="1"/>
    <xf numFmtId="0" fontId="18" fillId="0" borderId="9" xfId="0" applyFont="1" applyFill="1" applyBorder="1" applyAlignment="1" applyProtection="1">
      <alignment horizontal="left"/>
    </xf>
    <xf numFmtId="0" fontId="5" fillId="0" borderId="7" xfId="0" applyFont="1" applyFill="1" applyBorder="1" applyAlignment="1" applyProtection="1">
      <alignment horizontal="left"/>
    </xf>
    <xf numFmtId="0" fontId="0" fillId="0" borderId="7" xfId="0" applyFill="1" applyBorder="1"/>
    <xf numFmtId="0" fontId="0" fillId="0" borderId="10" xfId="0" applyFill="1" applyBorder="1"/>
    <xf numFmtId="0" fontId="12" fillId="0" borderId="0" xfId="0" applyFont="1" applyFill="1" applyBorder="1" applyAlignment="1" applyProtection="1">
      <alignment horizontal="left" wrapText="1"/>
    </xf>
    <xf numFmtId="0" fontId="5" fillId="5" borderId="5" xfId="0" applyFont="1" applyFill="1" applyBorder="1" applyAlignment="1" applyProtection="1">
      <alignment horizontal="center" vertical="center"/>
    </xf>
    <xf numFmtId="164" fontId="5" fillId="5" borderId="5" xfId="0" applyNumberFormat="1" applyFont="1" applyFill="1" applyBorder="1" applyAlignment="1" applyProtection="1">
      <alignment horizontal="center" vertical="center"/>
    </xf>
    <xf numFmtId="3" fontId="19" fillId="5" borderId="5" xfId="0" applyNumberFormat="1" applyFont="1" applyFill="1" applyBorder="1" applyAlignment="1" applyProtection="1">
      <alignment horizontal="center" vertical="center"/>
    </xf>
    <xf numFmtId="4" fontId="5" fillId="5" borderId="6"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2" fontId="10" fillId="11" borderId="13" xfId="0" applyNumberFormat="1" applyFont="1" applyFill="1" applyBorder="1" applyAlignment="1" applyProtection="1">
      <alignment horizontal="center"/>
    </xf>
    <xf numFmtId="0" fontId="10" fillId="11" borderId="8" xfId="0" applyFont="1" applyFill="1" applyBorder="1" applyAlignment="1" applyProtection="1">
      <alignment horizontal="left"/>
    </xf>
    <xf numFmtId="0" fontId="0" fillId="11" borderId="8" xfId="0" applyFill="1" applyBorder="1"/>
    <xf numFmtId="0" fontId="0" fillId="11" borderId="8" xfId="0" applyFill="1" applyBorder="1" applyAlignment="1">
      <alignment horizontal="center"/>
    </xf>
    <xf numFmtId="0" fontId="0" fillId="11" borderId="14" xfId="0" applyFill="1" applyBorder="1"/>
    <xf numFmtId="0" fontId="10" fillId="11" borderId="11" xfId="0" applyFont="1" applyFill="1" applyBorder="1"/>
    <xf numFmtId="0" fontId="10" fillId="11" borderId="0" xfId="0" applyFont="1" applyFill="1" applyBorder="1"/>
    <xf numFmtId="0" fontId="0" fillId="11" borderId="0" xfId="0" applyFill="1" applyBorder="1"/>
    <xf numFmtId="0" fontId="0" fillId="11" borderId="0" xfId="0" applyFill="1" applyBorder="1" applyAlignment="1">
      <alignment horizontal="center"/>
    </xf>
    <xf numFmtId="0" fontId="0" fillId="11" borderId="12" xfId="0" applyFill="1" applyBorder="1"/>
    <xf numFmtId="0" fontId="15" fillId="11" borderId="13" xfId="0" applyFont="1" applyFill="1" applyBorder="1" applyAlignment="1" applyProtection="1">
      <alignment horizontal="center"/>
    </xf>
    <xf numFmtId="0" fontId="0" fillId="11" borderId="8" xfId="0" applyFill="1" applyBorder="1" applyAlignment="1">
      <alignment horizontal="center" vertical="center"/>
    </xf>
    <xf numFmtId="0" fontId="13" fillId="11" borderId="13" xfId="0" applyFont="1" applyFill="1" applyBorder="1" applyAlignment="1" applyProtection="1">
      <alignment horizontal="center"/>
    </xf>
    <xf numFmtId="0" fontId="12" fillId="11" borderId="8" xfId="0" applyFont="1" applyFill="1" applyBorder="1" applyAlignment="1" applyProtection="1">
      <alignment horizontal="left"/>
    </xf>
    <xf numFmtId="0" fontId="18" fillId="11" borderId="4" xfId="0" applyFont="1" applyFill="1" applyBorder="1" applyAlignment="1" applyProtection="1">
      <alignment horizontal="left"/>
    </xf>
    <xf numFmtId="0" fontId="8" fillId="11" borderId="5" xfId="0" applyFont="1" applyFill="1" applyBorder="1" applyAlignment="1" applyProtection="1">
      <alignment horizontal="left"/>
    </xf>
    <xf numFmtId="0" fontId="0" fillId="11" borderId="7" xfId="0" applyFill="1" applyBorder="1"/>
    <xf numFmtId="0" fontId="0" fillId="11" borderId="10" xfId="0" applyFill="1" applyBorder="1"/>
    <xf numFmtId="0" fontId="0" fillId="11" borderId="7" xfId="0" applyFill="1" applyBorder="1" applyAlignment="1">
      <alignment horizontal="center"/>
    </xf>
    <xf numFmtId="0" fontId="5" fillId="11" borderId="5" xfId="0" applyFont="1" applyFill="1" applyBorder="1" applyAlignment="1" applyProtection="1">
      <alignment horizontal="left"/>
    </xf>
    <xf numFmtId="0" fontId="13" fillId="11" borderId="11" xfId="0" applyFont="1" applyFill="1" applyBorder="1" applyAlignment="1" applyProtection="1">
      <alignment horizontal="center"/>
    </xf>
    <xf numFmtId="0" fontId="12" fillId="11" borderId="0" xfId="0" applyFont="1" applyFill="1" applyBorder="1" applyAlignment="1" applyProtection="1">
      <alignment horizontal="left"/>
    </xf>
    <xf numFmtId="0" fontId="15" fillId="0" borderId="5" xfId="0" applyFont="1" applyFill="1" applyBorder="1" applyAlignment="1" applyProtection="1">
      <alignment horizontal="center"/>
    </xf>
    <xf numFmtId="0" fontId="10" fillId="0" borderId="5" xfId="0" applyFont="1" applyFill="1" applyBorder="1" applyAlignment="1" applyProtection="1">
      <alignment horizontal="left"/>
    </xf>
    <xf numFmtId="0" fontId="12" fillId="0" borderId="5" xfId="0" applyFont="1" applyFill="1" applyBorder="1" applyAlignment="1" applyProtection="1">
      <alignment horizontal="left"/>
    </xf>
    <xf numFmtId="3" fontId="3" fillId="3" borderId="5" xfId="0" applyNumberFormat="1" applyFont="1" applyFill="1" applyBorder="1" applyAlignment="1" applyProtection="1">
      <alignment horizontal="center"/>
      <protection locked="0"/>
    </xf>
    <xf numFmtId="3" fontId="3" fillId="0" borderId="5" xfId="0" applyNumberFormat="1" applyFont="1" applyFill="1" applyBorder="1" applyAlignment="1" applyProtection="1">
      <alignment horizontal="center"/>
    </xf>
    <xf numFmtId="0" fontId="10" fillId="0" borderId="5" xfId="0" applyFont="1" applyFill="1" applyBorder="1" applyAlignment="1" applyProtection="1">
      <alignment horizontal="left" wrapText="1"/>
    </xf>
    <xf numFmtId="0" fontId="15" fillId="0" borderId="5" xfId="0" applyFont="1" applyFill="1" applyBorder="1" applyAlignment="1" applyProtection="1">
      <alignment horizontal="center" vertical="center"/>
    </xf>
    <xf numFmtId="0" fontId="10" fillId="0" borderId="5" xfId="0" applyFont="1" applyFill="1" applyBorder="1" applyAlignment="1" applyProtection="1">
      <alignment horizontal="left" vertical="center" wrapText="1"/>
    </xf>
    <xf numFmtId="3" fontId="3" fillId="3" borderId="5" xfId="0" applyNumberFormat="1" applyFont="1" applyFill="1" applyBorder="1" applyAlignment="1" applyProtection="1">
      <alignment horizontal="center" vertical="center"/>
      <protection locked="0"/>
    </xf>
    <xf numFmtId="3" fontId="3" fillId="0" borderId="5" xfId="0" applyNumberFormat="1" applyFont="1" applyFill="1" applyBorder="1" applyAlignment="1" applyProtection="1">
      <alignment horizontal="center" vertical="center"/>
    </xf>
    <xf numFmtId="0" fontId="13" fillId="0" borderId="5" xfId="0" applyFont="1" applyFill="1" applyBorder="1" applyAlignment="1" applyProtection="1">
      <alignment horizontal="center"/>
    </xf>
    <xf numFmtId="3" fontId="9" fillId="3" borderId="5" xfId="0" applyNumberFormat="1" applyFont="1" applyFill="1" applyBorder="1" applyAlignment="1" applyProtection="1">
      <alignment horizontal="center"/>
      <protection locked="0"/>
    </xf>
    <xf numFmtId="3" fontId="19" fillId="0" borderId="5" xfId="0" applyNumberFormat="1" applyFont="1" applyFill="1" applyBorder="1" applyAlignment="1" applyProtection="1">
      <alignment horizontal="center"/>
    </xf>
    <xf numFmtId="0" fontId="13" fillId="0" borderId="5" xfId="0" applyFont="1" applyFill="1" applyBorder="1" applyAlignment="1" applyProtection="1">
      <alignment horizontal="center" vertical="center"/>
    </xf>
    <xf numFmtId="0" fontId="12" fillId="0" borderId="5" xfId="0" applyFont="1" applyFill="1" applyBorder="1" applyAlignment="1" applyProtection="1">
      <alignment horizontal="left" wrapText="1"/>
    </xf>
    <xf numFmtId="3" fontId="9" fillId="3" borderId="5" xfId="0" applyNumberFormat="1" applyFont="1" applyFill="1" applyBorder="1" applyAlignment="1" applyProtection="1">
      <alignment horizontal="center" vertical="center"/>
      <protection locked="0"/>
    </xf>
    <xf numFmtId="3" fontId="19" fillId="0" borderId="5" xfId="0" applyNumberFormat="1" applyFont="1" applyFill="1" applyBorder="1" applyAlignment="1" applyProtection="1">
      <alignment horizontal="center" vertical="center"/>
    </xf>
    <xf numFmtId="0" fontId="12" fillId="0" borderId="7" xfId="0" applyFont="1" applyFill="1" applyBorder="1" applyAlignment="1" applyProtection="1">
      <alignment horizontal="left" wrapText="1"/>
    </xf>
    <xf numFmtId="3" fontId="19" fillId="0" borderId="7" xfId="0" applyNumberFormat="1" applyFont="1" applyFill="1" applyBorder="1" applyAlignment="1" applyProtection="1">
      <alignment horizontal="center" vertical="center"/>
    </xf>
    <xf numFmtId="3" fontId="19"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3" fontId="4" fillId="0" borderId="5" xfId="0" applyNumberFormat="1" applyFont="1" applyFill="1" applyBorder="1" applyAlignment="1" applyProtection="1">
      <alignment horizontal="center"/>
    </xf>
    <xf numFmtId="0" fontId="4" fillId="0" borderId="0" xfId="0" applyFont="1" applyFill="1" applyBorder="1" applyAlignment="1" applyProtection="1">
      <alignment horizontal="right"/>
    </xf>
    <xf numFmtId="3" fontId="4" fillId="0" borderId="0" xfId="0" applyNumberFormat="1" applyFont="1" applyFill="1" applyBorder="1" applyAlignment="1" applyProtection="1">
      <alignment horizontal="right"/>
    </xf>
    <xf numFmtId="3" fontId="3" fillId="0" borderId="0" xfId="0" applyNumberFormat="1" applyFont="1" applyFill="1" applyBorder="1" applyAlignment="1" applyProtection="1">
      <alignment horizontal="right"/>
    </xf>
    <xf numFmtId="167" fontId="21" fillId="0" borderId="0" xfId="0" applyNumberFormat="1" applyFont="1" applyFill="1" applyBorder="1" applyAlignment="1" applyProtection="1">
      <alignment horizontal="center"/>
    </xf>
    <xf numFmtId="165" fontId="4" fillId="0" borderId="0" xfId="0" applyNumberFormat="1" applyFont="1" applyFill="1" applyBorder="1" applyAlignment="1" applyProtection="1">
      <alignment horizontal="center"/>
    </xf>
    <xf numFmtId="0" fontId="4" fillId="0" borderId="9" xfId="0" applyFont="1" applyFill="1" applyBorder="1" applyAlignment="1" applyProtection="1">
      <alignment horizontal="right" vertical="center"/>
    </xf>
    <xf numFmtId="0" fontId="4" fillId="0" borderId="7" xfId="0" applyFont="1" applyFill="1" applyBorder="1" applyAlignment="1" applyProtection="1">
      <alignment horizontal="center"/>
    </xf>
    <xf numFmtId="0" fontId="4" fillId="0" borderId="7" xfId="0" applyFont="1" applyFill="1" applyBorder="1" applyAlignment="1" applyProtection="1">
      <alignment horizontal="right" vertical="center"/>
    </xf>
    <xf numFmtId="3" fontId="4" fillId="0" borderId="10" xfId="0" applyNumberFormat="1" applyFont="1" applyFill="1" applyBorder="1" applyAlignment="1" applyProtection="1">
      <alignment horizontal="center"/>
    </xf>
    <xf numFmtId="0" fontId="4" fillId="0" borderId="11" xfId="0" applyFont="1" applyFill="1" applyBorder="1" applyAlignment="1" applyProtection="1">
      <alignment horizontal="left"/>
    </xf>
    <xf numFmtId="164" fontId="4" fillId="0" borderId="12" xfId="0" applyNumberFormat="1" applyFont="1" applyFill="1" applyBorder="1" applyAlignment="1" applyProtection="1">
      <alignment horizontal="center"/>
    </xf>
    <xf numFmtId="0" fontId="4" fillId="0" borderId="11" xfId="0" applyFont="1" applyFill="1" applyBorder="1" applyAlignment="1" applyProtection="1">
      <alignment horizontal="right"/>
    </xf>
    <xf numFmtId="0" fontId="4" fillId="0" borderId="11" xfId="0" applyFont="1" applyFill="1" applyBorder="1" applyProtection="1"/>
    <xf numFmtId="4" fontId="4" fillId="0" borderId="12" xfId="0" applyNumberFormat="1" applyFont="1" applyFill="1" applyBorder="1" applyAlignment="1" applyProtection="1">
      <alignment horizontal="center"/>
    </xf>
    <xf numFmtId="167" fontId="4" fillId="0" borderId="12" xfId="0" applyNumberFormat="1" applyFont="1" applyFill="1" applyBorder="1" applyAlignment="1" applyProtection="1">
      <alignment horizontal="center"/>
    </xf>
    <xf numFmtId="0" fontId="4" fillId="0" borderId="4" xfId="0" applyFont="1" applyFill="1" applyBorder="1" applyProtection="1"/>
    <xf numFmtId="0" fontId="4" fillId="0" borderId="5" xfId="0" applyFont="1" applyFill="1" applyBorder="1" applyProtection="1"/>
    <xf numFmtId="3" fontId="3" fillId="0" borderId="5" xfId="0" applyNumberFormat="1" applyFont="1" applyFill="1" applyBorder="1" applyAlignment="1" applyProtection="1">
      <alignment horizontal="right"/>
    </xf>
    <xf numFmtId="3" fontId="4" fillId="0" borderId="5" xfId="0" applyNumberFormat="1" applyFont="1" applyFill="1" applyBorder="1" applyProtection="1"/>
    <xf numFmtId="167" fontId="21" fillId="0" borderId="6" xfId="0" applyNumberFormat="1" applyFont="1" applyFill="1" applyBorder="1" applyAlignment="1" applyProtection="1">
      <alignment horizontal="center"/>
    </xf>
    <xf numFmtId="0" fontId="3" fillId="10" borderId="15" xfId="0" applyFont="1" applyFill="1" applyBorder="1" applyAlignment="1" applyProtection="1">
      <alignment horizontal="centerContinuous" vertical="center"/>
    </xf>
    <xf numFmtId="0" fontId="4" fillId="10" borderId="2" xfId="0" applyFont="1" applyFill="1" applyBorder="1" applyAlignment="1" applyProtection="1">
      <alignment horizontal="centerContinuous" vertical="center"/>
    </xf>
    <xf numFmtId="0" fontId="4" fillId="10" borderId="16" xfId="0" applyFont="1" applyFill="1" applyBorder="1" applyAlignment="1" applyProtection="1">
      <alignment horizontal="centerContinuous" vertical="center"/>
    </xf>
    <xf numFmtId="0" fontId="3" fillId="13" borderId="15" xfId="0" applyFont="1" applyFill="1" applyBorder="1" applyAlignment="1" applyProtection="1">
      <alignment horizontal="centerContinuous"/>
    </xf>
    <xf numFmtId="0" fontId="4" fillId="13" borderId="2" xfId="0" applyFont="1" applyFill="1" applyBorder="1" applyAlignment="1" applyProtection="1">
      <alignment horizontal="centerContinuous"/>
    </xf>
    <xf numFmtId="0" fontId="4" fillId="13" borderId="16" xfId="0" applyFont="1" applyFill="1" applyBorder="1" applyAlignment="1" applyProtection="1">
      <alignment horizontal="centerContinuous"/>
    </xf>
    <xf numFmtId="0" fontId="13" fillId="0" borderId="5" xfId="3" applyFont="1" applyFill="1" applyBorder="1" applyAlignment="1" applyProtection="1">
      <alignment horizontal="center" vertical="center"/>
    </xf>
    <xf numFmtId="0" fontId="12" fillId="0" borderId="5" xfId="3" applyFont="1" applyFill="1" applyBorder="1" applyAlignment="1" applyProtection="1">
      <alignment horizontal="left" vertical="center"/>
    </xf>
    <xf numFmtId="0" fontId="10" fillId="0" borderId="5" xfId="0" applyFont="1" applyBorder="1" applyAlignment="1" applyProtection="1">
      <alignment wrapText="1"/>
    </xf>
    <xf numFmtId="3" fontId="5" fillId="0" borderId="5" xfId="0" applyNumberFormat="1" applyFont="1" applyFill="1" applyBorder="1" applyAlignment="1" applyProtection="1">
      <alignment horizontal="center"/>
    </xf>
    <xf numFmtId="0" fontId="20" fillId="0" borderId="7" xfId="0" applyFont="1" applyFill="1" applyBorder="1" applyAlignment="1" applyProtection="1"/>
    <xf numFmtId="164" fontId="5" fillId="0" borderId="7" xfId="0" applyNumberFormat="1" applyFont="1" applyFill="1" applyBorder="1" applyAlignment="1" applyProtection="1">
      <alignment horizontal="center" vertical="center"/>
    </xf>
    <xf numFmtId="0" fontId="20" fillId="0" borderId="0" xfId="0" applyFont="1" applyFill="1" applyBorder="1" applyAlignment="1" applyProtection="1"/>
    <xf numFmtId="164" fontId="5" fillId="0" borderId="0" xfId="0" applyNumberFormat="1"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3" fontId="5" fillId="0" borderId="0" xfId="0" applyNumberFormat="1" applyFont="1" applyFill="1" applyAlignment="1" applyProtection="1">
      <alignment horizontal="center"/>
    </xf>
    <xf numFmtId="3" fontId="9" fillId="0" borderId="7" xfId="0" applyNumberFormat="1" applyFont="1" applyFill="1" applyBorder="1" applyAlignment="1" applyProtection="1">
      <alignment horizontal="center" vertical="center"/>
      <protection locked="0"/>
    </xf>
    <xf numFmtId="3" fontId="9" fillId="0" borderId="0" xfId="0" applyNumberFormat="1" applyFont="1" applyFill="1" applyBorder="1" applyAlignment="1" applyProtection="1">
      <alignment horizontal="center" vertical="center"/>
      <protection locked="0"/>
    </xf>
    <xf numFmtId="4" fontId="4" fillId="12" borderId="12" xfId="0" applyNumberFormat="1" applyFont="1" applyFill="1" applyBorder="1" applyAlignment="1" applyProtection="1">
      <alignment horizontal="center"/>
      <protection locked="0"/>
    </xf>
    <xf numFmtId="1" fontId="4" fillId="12" borderId="12" xfId="0" applyNumberFormat="1" applyFont="1" applyFill="1" applyBorder="1" applyAlignment="1" applyProtection="1">
      <alignment horizontal="center"/>
      <protection locked="0"/>
    </xf>
    <xf numFmtId="3" fontId="4" fillId="12" borderId="10"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xf>
    <xf numFmtId="3" fontId="0" fillId="0" borderId="0" xfId="0" applyNumberFormat="1" applyAlignment="1" applyProtection="1">
      <alignment vertical="center"/>
    </xf>
    <xf numFmtId="164" fontId="4" fillId="3" borderId="0" xfId="0" applyNumberFormat="1" applyFont="1" applyFill="1" applyAlignment="1" applyProtection="1">
      <alignment horizontal="right"/>
      <protection locked="0"/>
    </xf>
    <xf numFmtId="3" fontId="0" fillId="0" borderId="0" xfId="0" applyNumberFormat="1" applyFill="1" applyAlignment="1" applyProtection="1">
      <alignment horizontal="right" vertical="center"/>
      <protection locked="0"/>
    </xf>
    <xf numFmtId="0" fontId="0" fillId="0" borderId="0" xfId="0" applyFill="1"/>
    <xf numFmtId="0" fontId="5" fillId="0" borderId="0" xfId="3" applyFont="1" applyFill="1" applyBorder="1" applyAlignment="1">
      <alignment horizontal="left"/>
    </xf>
    <xf numFmtId="0" fontId="5" fillId="0" borderId="0" xfId="3" applyFont="1" applyFill="1" applyAlignment="1">
      <alignment horizontal="left"/>
    </xf>
    <xf numFmtId="0" fontId="2" fillId="0" borderId="0" xfId="0" applyFont="1" applyFill="1" applyBorder="1" applyAlignment="1" applyProtection="1">
      <alignment horizontal="center"/>
    </xf>
    <xf numFmtId="0" fontId="10" fillId="0" borderId="0" xfId="0" applyFont="1" applyFill="1" applyBorder="1" applyAlignment="1" applyProtection="1">
      <alignment horizontal="left"/>
    </xf>
    <xf numFmtId="164" fontId="4" fillId="0" borderId="0" xfId="0" applyNumberFormat="1" applyFont="1" applyAlignment="1">
      <alignment horizontal="right"/>
    </xf>
    <xf numFmtId="0" fontId="4" fillId="0" borderId="0" xfId="0" applyFont="1" applyAlignment="1">
      <alignment horizontal="right"/>
    </xf>
    <xf numFmtId="0" fontId="10" fillId="0" borderId="0" xfId="0" applyFont="1" applyFill="1" applyBorder="1" applyAlignment="1" applyProtection="1">
      <alignment horizontal="center" vertical="center"/>
    </xf>
    <xf numFmtId="0" fontId="3" fillId="0" borderId="0" xfId="0" applyFont="1" applyFill="1" applyAlignment="1" applyProtection="1">
      <alignment horizontal="center"/>
    </xf>
    <xf numFmtId="0" fontId="3" fillId="0" borderId="0" xfId="0" applyFont="1" applyFill="1" applyAlignment="1" applyProtection="1">
      <alignment horizontal="center" vertical="center"/>
    </xf>
    <xf numFmtId="3" fontId="3" fillId="0" borderId="0" xfId="0" applyNumberFormat="1" applyFont="1" applyFill="1" applyAlignment="1" applyProtection="1">
      <alignment horizontal="center" vertical="center"/>
    </xf>
    <xf numFmtId="0" fontId="11" fillId="0" borderId="0" xfId="0" applyFont="1" applyAlignment="1">
      <alignment horizontal="center"/>
    </xf>
    <xf numFmtId="0" fontId="25" fillId="0" borderId="0" xfId="0" applyFont="1" applyFill="1" applyBorder="1" applyAlignment="1" applyProtection="1">
      <alignment horizontal="center" vertical="center"/>
    </xf>
    <xf numFmtId="3" fontId="0" fillId="0" borderId="0" xfId="0" applyNumberFormat="1" applyAlignment="1" applyProtection="1">
      <alignment horizontal="left" vertical="center"/>
    </xf>
    <xf numFmtId="0" fontId="9" fillId="0" borderId="17" xfId="3" applyFont="1" applyFill="1" applyBorder="1" applyAlignment="1">
      <alignment horizontal="left"/>
    </xf>
    <xf numFmtId="0" fontId="0" fillId="0" borderId="17" xfId="0" applyBorder="1"/>
    <xf numFmtId="164" fontId="4" fillId="3" borderId="17" xfId="0" applyNumberFormat="1" applyFont="1" applyFill="1" applyBorder="1" applyAlignment="1" applyProtection="1">
      <alignment horizontal="right"/>
      <protection locked="0"/>
    </xf>
    <xf numFmtId="164" fontId="4" fillId="0" borderId="17" xfId="0" applyNumberFormat="1" applyFont="1" applyBorder="1" applyAlignment="1">
      <alignment horizontal="right"/>
    </xf>
    <xf numFmtId="0" fontId="5" fillId="0" borderId="17" xfId="3" applyFont="1" applyFill="1" applyBorder="1" applyAlignment="1">
      <alignment horizontal="left"/>
    </xf>
    <xf numFmtId="0" fontId="5" fillId="0" borderId="18" xfId="3" applyFont="1" applyFill="1" applyBorder="1" applyAlignment="1">
      <alignment horizontal="left"/>
    </xf>
    <xf numFmtId="0" fontId="0" fillId="0" borderId="18" xfId="0" applyBorder="1"/>
    <xf numFmtId="164" fontId="4" fillId="0" borderId="18" xfId="0" applyNumberFormat="1" applyFont="1" applyBorder="1" applyAlignment="1">
      <alignment horizontal="right"/>
    </xf>
    <xf numFmtId="0" fontId="24" fillId="0" borderId="15" xfId="3" applyFont="1" applyFill="1" applyBorder="1" applyAlignment="1">
      <alignment horizontal="left" vertical="center"/>
    </xf>
    <xf numFmtId="0" fontId="0" fillId="0" borderId="2" xfId="0" applyBorder="1" applyAlignment="1">
      <alignment vertical="center"/>
    </xf>
    <xf numFmtId="164" fontId="3" fillId="0" borderId="2" xfId="0" applyNumberFormat="1" applyFont="1" applyBorder="1" applyAlignment="1">
      <alignment horizontal="right" vertical="center"/>
    </xf>
    <xf numFmtId="0" fontId="5" fillId="0" borderId="19" xfId="3" applyFont="1" applyFill="1" applyBorder="1" applyAlignment="1">
      <alignment horizontal="left"/>
    </xf>
    <xf numFmtId="0" fontId="0" fillId="0" borderId="19" xfId="0" applyBorder="1"/>
    <xf numFmtId="164" fontId="4" fillId="3" borderId="19" xfId="0" applyNumberFormat="1" applyFont="1" applyFill="1" applyBorder="1" applyAlignment="1" applyProtection="1">
      <alignment horizontal="right"/>
      <protection locked="0"/>
    </xf>
    <xf numFmtId="164" fontId="4" fillId="0" borderId="19" xfId="0" applyNumberFormat="1" applyFont="1" applyBorder="1" applyAlignment="1">
      <alignment horizontal="right"/>
    </xf>
    <xf numFmtId="0" fontId="9" fillId="0" borderId="7" xfId="3" applyFont="1" applyFill="1" applyBorder="1" applyAlignment="1">
      <alignment horizontal="left"/>
    </xf>
    <xf numFmtId="0" fontId="0" fillId="0" borderId="7" xfId="0" applyBorder="1"/>
    <xf numFmtId="164" fontId="4" fillId="0" borderId="7" xfId="0" applyNumberFormat="1" applyFont="1" applyBorder="1" applyAlignment="1">
      <alignment horizontal="right"/>
    </xf>
    <xf numFmtId="164" fontId="3" fillId="0" borderId="16" xfId="0" applyNumberFormat="1" applyFont="1" applyBorder="1" applyAlignment="1">
      <alignment horizontal="right" vertical="center"/>
    </xf>
    <xf numFmtId="0" fontId="13" fillId="0" borderId="19" xfId="3" applyFont="1" applyFill="1" applyBorder="1" applyAlignment="1">
      <alignment horizontal="left"/>
    </xf>
    <xf numFmtId="0" fontId="26" fillId="0" borderId="0" xfId="0" applyFont="1"/>
    <xf numFmtId="0" fontId="28" fillId="0" borderId="0" xfId="0" applyFont="1" applyFill="1" applyProtection="1"/>
    <xf numFmtId="0" fontId="5" fillId="3" borderId="0" xfId="0" applyFont="1" applyFill="1" applyAlignment="1" applyProtection="1">
      <alignment horizontal="center"/>
      <protection locked="0"/>
    </xf>
    <xf numFmtId="0" fontId="3" fillId="10" borderId="2" xfId="0" applyFont="1" applyFill="1" applyBorder="1" applyAlignment="1" applyProtection="1">
      <alignment horizontal="centerContinuous" vertical="center"/>
    </xf>
    <xf numFmtId="0" fontId="3" fillId="5" borderId="5" xfId="0" applyFont="1" applyFill="1" applyBorder="1" applyAlignment="1" applyProtection="1">
      <alignment horizontal="left"/>
    </xf>
    <xf numFmtId="0" fontId="16" fillId="5" borderId="5" xfId="0" applyFont="1" applyFill="1" applyBorder="1" applyAlignment="1" applyProtection="1">
      <alignment horizontal="left"/>
    </xf>
    <xf numFmtId="0" fontId="18" fillId="5" borderId="5" xfId="0" applyFont="1" applyFill="1" applyBorder="1" applyAlignment="1" applyProtection="1">
      <alignment horizontal="left"/>
    </xf>
    <xf numFmtId="0" fontId="3" fillId="13" borderId="2" xfId="0" applyFont="1" applyFill="1" applyBorder="1" applyAlignment="1" applyProtection="1">
      <alignment horizontal="centerContinuous"/>
    </xf>
    <xf numFmtId="165" fontId="3" fillId="14" borderId="0" xfId="0" applyNumberFormat="1" applyFont="1" applyFill="1" applyAlignment="1" applyProtection="1">
      <alignment horizontal="center"/>
    </xf>
    <xf numFmtId="0" fontId="12" fillId="14" borderId="0" xfId="0" applyFont="1" applyFill="1" applyAlignment="1" applyProtection="1">
      <alignment horizontal="center"/>
    </xf>
    <xf numFmtId="0" fontId="10" fillId="0" borderId="0" xfId="0" applyFont="1" applyFill="1" applyAlignment="1" applyProtection="1">
      <alignment horizontal="center"/>
    </xf>
    <xf numFmtId="0" fontId="10" fillId="3" borderId="0" xfId="0" applyFont="1" applyFill="1" applyAlignment="1" applyProtection="1">
      <alignment horizontal="center"/>
      <protection locked="0"/>
    </xf>
    <xf numFmtId="0" fontId="10" fillId="0" borderId="0" xfId="0" applyFont="1" applyFill="1" applyAlignment="1" applyProtection="1">
      <alignment horizontal="left"/>
    </xf>
    <xf numFmtId="164" fontId="10" fillId="0" borderId="0" xfId="0" applyNumberFormat="1" applyFont="1" applyFill="1" applyAlignment="1" applyProtection="1">
      <alignment horizontal="right"/>
    </xf>
    <xf numFmtId="164" fontId="10" fillId="0" borderId="0" xfId="0" applyNumberFormat="1" applyFont="1" applyFill="1" applyBorder="1" applyAlignment="1" applyProtection="1">
      <alignment horizontal="right"/>
    </xf>
    <xf numFmtId="0" fontId="2" fillId="4" borderId="3" xfId="0" applyFont="1" applyFill="1" applyBorder="1" applyAlignment="1" applyProtection="1">
      <alignment horizontal="center"/>
    </xf>
    <xf numFmtId="0" fontId="2" fillId="4" borderId="3" xfId="0" applyFont="1" applyFill="1" applyBorder="1" applyAlignment="1" applyProtection="1">
      <alignment horizontal="centerContinuous"/>
    </xf>
    <xf numFmtId="0" fontId="2" fillId="4" borderId="3" xfId="0" applyFont="1" applyFill="1" applyBorder="1" applyAlignment="1" applyProtection="1">
      <alignment horizontal="centerContinuous" readingOrder="1"/>
    </xf>
    <xf numFmtId="0" fontId="2" fillId="4" borderId="3" xfId="0" applyFont="1" applyFill="1" applyBorder="1" applyAlignment="1" applyProtection="1">
      <alignment horizontal="centerContinuous" readingOrder="2"/>
    </xf>
    <xf numFmtId="0" fontId="29" fillId="4" borderId="3" xfId="0" applyFont="1" applyFill="1" applyBorder="1" applyAlignment="1" applyProtection="1">
      <alignment horizontal="centerContinuous"/>
    </xf>
    <xf numFmtId="0" fontId="29" fillId="4" borderId="3" xfId="0" applyFont="1" applyFill="1" applyBorder="1" applyAlignment="1" applyProtection="1">
      <alignment horizontal="left"/>
    </xf>
    <xf numFmtId="0" fontId="28" fillId="0" borderId="0" xfId="0" applyFont="1" applyFill="1" applyAlignment="1" applyProtection="1">
      <alignment horizontal="left" vertical="center"/>
    </xf>
    <xf numFmtId="0" fontId="10" fillId="0" borderId="0" xfId="0" applyFont="1" applyFill="1" applyAlignment="1" applyProtection="1">
      <alignment horizontal="left" vertical="center"/>
    </xf>
    <xf numFmtId="3" fontId="4" fillId="0" borderId="0" xfId="0" applyNumberFormat="1" applyFont="1" applyFill="1" applyAlignment="1" applyProtection="1">
      <alignment horizontal="left" vertical="center"/>
    </xf>
    <xf numFmtId="164" fontId="4" fillId="0" borderId="0" xfId="0" applyNumberFormat="1" applyFont="1" applyFill="1" applyAlignment="1" applyProtection="1">
      <alignment horizontal="left" vertical="center"/>
    </xf>
    <xf numFmtId="0" fontId="10" fillId="0" borderId="0" xfId="0" applyFont="1" applyFill="1" applyAlignment="1" applyProtection="1">
      <alignment horizontal="centerContinuous" vertical="center"/>
    </xf>
    <xf numFmtId="3" fontId="4" fillId="0" borderId="0" xfId="0" applyNumberFormat="1" applyFont="1" applyFill="1" applyAlignment="1" applyProtection="1">
      <alignment horizontal="centerContinuous" vertical="center"/>
    </xf>
    <xf numFmtId="164" fontId="4" fillId="0" borderId="0" xfId="0" applyNumberFormat="1" applyFont="1" applyFill="1" applyAlignment="1" applyProtection="1">
      <alignment horizontal="centerContinuous" vertical="center"/>
    </xf>
    <xf numFmtId="0" fontId="30" fillId="0" borderId="0" xfId="0" applyFont="1" applyFill="1" applyAlignment="1" applyProtection="1">
      <alignment horizontal="centerContinuous" vertical="distributed" wrapText="1"/>
    </xf>
    <xf numFmtId="0" fontId="10" fillId="0" borderId="0" xfId="0" applyFont="1" applyFill="1" applyAlignment="1" applyProtection="1">
      <alignment horizontal="centerContinuous" vertical="distributed" wrapText="1"/>
    </xf>
    <xf numFmtId="0" fontId="28" fillId="0" borderId="0" xfId="0" applyFont="1" applyFill="1" applyAlignment="1" applyProtection="1">
      <alignment horizontal="centerContinuous" vertical="distributed" wrapText="1"/>
    </xf>
    <xf numFmtId="3" fontId="4" fillId="0" borderId="0" xfId="0" applyNumberFormat="1" applyFont="1" applyFill="1" applyAlignment="1" applyProtection="1">
      <alignment horizontal="centerContinuous" vertical="distributed" wrapText="1"/>
    </xf>
    <xf numFmtId="164" fontId="4" fillId="0" borderId="0" xfId="0" applyNumberFormat="1" applyFont="1" applyFill="1" applyAlignment="1" applyProtection="1">
      <alignment horizontal="centerContinuous" vertical="distributed" wrapText="1"/>
    </xf>
    <xf numFmtId="164" fontId="10" fillId="0" borderId="0" xfId="0" applyNumberFormat="1" applyFont="1" applyFill="1" applyAlignment="1" applyProtection="1">
      <alignment horizontal="centerContinuous" vertical="distributed" wrapText="1"/>
    </xf>
    <xf numFmtId="0" fontId="19" fillId="0" borderId="0" xfId="0" applyFont="1" applyFill="1" applyAlignment="1" applyProtection="1">
      <alignment horizontal="centerContinuous"/>
    </xf>
    <xf numFmtId="164" fontId="8" fillId="0" borderId="0" xfId="0" applyNumberFormat="1" applyFont="1" applyFill="1" applyBorder="1" applyProtection="1"/>
    <xf numFmtId="0" fontId="28" fillId="0" borderId="1" xfId="0" applyFont="1" applyFill="1" applyBorder="1" applyAlignment="1" applyProtection="1">
      <alignment horizontal="center"/>
    </xf>
    <xf numFmtId="0" fontId="31" fillId="15" borderId="0" xfId="0" applyFont="1" applyFill="1" applyBorder="1" applyAlignment="1">
      <alignment horizontal="left"/>
    </xf>
    <xf numFmtId="0" fontId="31" fillId="0" borderId="0" xfId="0" applyFont="1" applyBorder="1" applyAlignment="1">
      <alignment horizontal="left"/>
    </xf>
    <xf numFmtId="1" fontId="31" fillId="15" borderId="0" xfId="0" applyNumberFormat="1" applyFont="1" applyFill="1" applyBorder="1" applyAlignment="1">
      <alignment horizontal="left"/>
    </xf>
    <xf numFmtId="1" fontId="31" fillId="0" borderId="0" xfId="0" applyNumberFormat="1" applyFont="1" applyBorder="1" applyAlignment="1">
      <alignment horizontal="left"/>
    </xf>
    <xf numFmtId="2" fontId="3"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32" fillId="16" borderId="21" xfId="0" applyFont="1" applyFill="1" applyBorder="1" applyAlignment="1">
      <alignment horizontal="left"/>
    </xf>
    <xf numFmtId="1" fontId="32" fillId="16" borderId="21" xfId="0" applyNumberFormat="1" applyFont="1" applyFill="1" applyBorder="1" applyAlignment="1">
      <alignment horizontal="left"/>
    </xf>
    <xf numFmtId="0" fontId="31" fillId="0" borderId="0" xfId="0" applyFont="1" applyBorder="1" applyAlignment="1">
      <alignment horizontal="left" wrapText="1"/>
    </xf>
    <xf numFmtId="0" fontId="31" fillId="15" borderId="0" xfId="0" applyFont="1" applyFill="1" applyBorder="1" applyAlignment="1">
      <alignment horizontal="left" wrapText="1"/>
    </xf>
    <xf numFmtId="164" fontId="4" fillId="0" borderId="1" xfId="0" applyNumberFormat="1" applyFont="1" applyFill="1" applyBorder="1" applyAlignment="1" applyProtection="1">
      <alignment horizontal="center" wrapText="1"/>
    </xf>
    <xf numFmtId="0" fontId="31" fillId="15" borderId="0" xfId="0" applyFont="1" applyFill="1"/>
    <xf numFmtId="0" fontId="33" fillId="15" borderId="0" xfId="0" applyFont="1" applyFill="1"/>
    <xf numFmtId="1" fontId="33" fillId="15" borderId="0" xfId="0" applyNumberFormat="1" applyFont="1" applyFill="1"/>
    <xf numFmtId="0" fontId="4" fillId="14" borderId="0" xfId="0" applyFont="1" applyFill="1" applyAlignment="1" applyProtection="1">
      <alignment horizontal="centerContinuous" vertical="distributed"/>
    </xf>
    <xf numFmtId="3" fontId="4" fillId="0" borderId="0" xfId="0" applyNumberFormat="1" applyFont="1" applyFill="1" applyAlignment="1" applyProtection="1">
      <alignment horizontal="centerContinuous" vertical="distributed"/>
    </xf>
    <xf numFmtId="164" fontId="4" fillId="0" borderId="0" xfId="0" applyNumberFormat="1" applyFont="1" applyFill="1" applyAlignment="1" applyProtection="1">
      <alignment horizontal="centerContinuous" vertical="distributed"/>
    </xf>
    <xf numFmtId="0" fontId="33" fillId="15" borderId="0" xfId="0" applyFont="1" applyFill="1" applyAlignment="1">
      <alignment wrapText="1"/>
    </xf>
    <xf numFmtId="1" fontId="32" fillId="16" borderId="21" xfId="0" applyNumberFormat="1"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wrapText="1"/>
      <protection locked="0"/>
    </xf>
    <xf numFmtId="0" fontId="31" fillId="15" borderId="0" xfId="0" applyFont="1" applyFill="1" applyBorder="1" applyAlignment="1" applyProtection="1">
      <alignment horizontal="center"/>
      <protection locked="0"/>
    </xf>
    <xf numFmtId="0" fontId="10" fillId="0" borderId="0" xfId="0" applyFont="1" applyFill="1" applyAlignment="1" applyProtection="1">
      <alignment horizontal="left"/>
      <protection locked="0"/>
    </xf>
    <xf numFmtId="0" fontId="4" fillId="0" borderId="0" xfId="0" applyFont="1" applyFill="1" applyAlignment="1" applyProtection="1">
      <alignment horizontal="left"/>
      <protection locked="0"/>
    </xf>
    <xf numFmtId="0" fontId="4" fillId="0" borderId="0" xfId="0" applyFont="1" applyFill="1" applyAlignment="1" applyProtection="1">
      <alignment horizontal="center"/>
      <protection locked="0"/>
    </xf>
    <xf numFmtId="168" fontId="4" fillId="7" borderId="0" xfId="0" applyNumberFormat="1" applyFont="1" applyFill="1" applyAlignment="1" applyProtection="1">
      <alignment horizontal="center"/>
      <protection locked="0"/>
    </xf>
    <xf numFmtId="0" fontId="10" fillId="0" borderId="0" xfId="0" applyFont="1" applyFill="1" applyAlignment="1" applyProtection="1">
      <alignment horizontal="center"/>
      <protection locked="0"/>
    </xf>
    <xf numFmtId="3" fontId="3" fillId="0" borderId="0" xfId="0" applyNumberFormat="1" applyFont="1" applyFill="1" applyAlignment="1" applyProtection="1">
      <alignment horizontal="center"/>
      <protection locked="0"/>
    </xf>
    <xf numFmtId="164" fontId="3" fillId="0" borderId="0" xfId="0" applyNumberFormat="1" applyFont="1" applyFill="1" applyAlignment="1" applyProtection="1">
      <alignment horizontal="center"/>
      <protection locked="0"/>
    </xf>
    <xf numFmtId="3" fontId="3" fillId="14" borderId="0" xfId="0" applyNumberFormat="1" applyFont="1" applyFill="1" applyAlignment="1" applyProtection="1">
      <alignment horizontal="center"/>
      <protection locked="0"/>
    </xf>
    <xf numFmtId="164" fontId="3" fillId="14" borderId="0" xfId="0" applyNumberFormat="1" applyFont="1" applyFill="1" applyAlignment="1" applyProtection="1">
      <alignment horizontal="center"/>
      <protection locked="0"/>
    </xf>
    <xf numFmtId="0" fontId="9" fillId="0" borderId="0" xfId="0" applyFont="1" applyFill="1" applyAlignment="1" applyProtection="1">
      <alignment horizontal="right"/>
    </xf>
    <xf numFmtId="168" fontId="4" fillId="3" borderId="0" xfId="0" applyNumberFormat="1" applyFont="1" applyFill="1" applyAlignment="1" applyProtection="1">
      <alignment horizontal="center"/>
    </xf>
    <xf numFmtId="164" fontId="4" fillId="3" borderId="0" xfId="0" applyNumberFormat="1" applyFont="1" applyFill="1" applyAlignment="1" applyProtection="1">
      <alignment horizontal="center"/>
    </xf>
    <xf numFmtId="164" fontId="0" fillId="0" borderId="0" xfId="0" applyNumberFormat="1" applyProtection="1">
      <protection locked="0"/>
    </xf>
    <xf numFmtId="169" fontId="4" fillId="0" borderId="0" xfId="0" applyNumberFormat="1" applyFont="1" applyFill="1" applyAlignment="1" applyProtection="1">
      <alignment horizontal="center"/>
    </xf>
    <xf numFmtId="0" fontId="3" fillId="0" borderId="0" xfId="0" applyFont="1" applyFill="1" applyBorder="1" applyAlignment="1" applyProtection="1">
      <alignment horizontal="left"/>
    </xf>
    <xf numFmtId="0" fontId="9" fillId="0" borderId="0" xfId="0" applyFont="1" applyFill="1" applyAlignment="1" applyProtection="1">
      <alignment horizontal="right"/>
    </xf>
    <xf numFmtId="0" fontId="2" fillId="4" borderId="3" xfId="0" applyFont="1" applyFill="1" applyBorder="1" applyAlignment="1" applyProtection="1">
      <alignment horizontal="center"/>
    </xf>
    <xf numFmtId="0" fontId="1" fillId="2" borderId="0" xfId="1"/>
    <xf numFmtId="0" fontId="36" fillId="17" borderId="22" xfId="1" applyFont="1" applyFill="1" applyBorder="1" applyAlignment="1" applyProtection="1">
      <alignment vertical="center" wrapText="1"/>
      <protection locked="0"/>
    </xf>
    <xf numFmtId="0" fontId="36" fillId="17" borderId="23" xfId="1" applyFont="1" applyFill="1" applyBorder="1" applyAlignment="1" applyProtection="1">
      <alignment vertical="top" wrapText="1"/>
      <protection locked="0"/>
    </xf>
    <xf numFmtId="0" fontId="1" fillId="2" borderId="0" xfId="1" applyAlignment="1">
      <alignment horizontal="right"/>
    </xf>
    <xf numFmtId="0" fontId="34" fillId="0" borderId="24" xfId="0" applyFont="1" applyBorder="1" applyAlignment="1">
      <alignment horizontal="center" vertical="center"/>
    </xf>
    <xf numFmtId="0" fontId="0" fillId="2" borderId="0" xfId="1" applyFont="1" applyAlignment="1">
      <alignment horizontal="right"/>
    </xf>
    <xf numFmtId="0" fontId="0" fillId="2" borderId="0" xfId="1" applyFont="1" applyAlignment="1">
      <alignment horizontal="right" vertical="top"/>
    </xf>
    <xf numFmtId="168" fontId="4" fillId="3" borderId="25" xfId="0" applyNumberFormat="1" applyFont="1" applyFill="1" applyBorder="1" applyAlignment="1" applyProtection="1">
      <alignment horizontal="center"/>
    </xf>
    <xf numFmtId="0" fontId="1" fillId="2" borderId="0" xfId="1" applyAlignment="1">
      <alignment horizontal="left"/>
    </xf>
    <xf numFmtId="0" fontId="37" fillId="0" borderId="24" xfId="0" applyFont="1" applyBorder="1" applyAlignment="1">
      <alignment horizontal="left" vertical="top" wrapText="1"/>
    </xf>
    <xf numFmtId="0" fontId="37" fillId="0" borderId="24" xfId="0" applyFont="1" applyBorder="1" applyAlignment="1">
      <alignment horizontal="left" vertical="top"/>
    </xf>
    <xf numFmtId="0" fontId="35" fillId="0" borderId="24" xfId="0" applyFont="1" applyBorder="1" applyAlignment="1">
      <alignment horizontal="center" vertical="center"/>
    </xf>
    <xf numFmtId="0" fontId="0" fillId="0" borderId="24" xfId="0" applyBorder="1" applyAlignment="1">
      <alignment horizontal="center" vertical="center"/>
    </xf>
    <xf numFmtId="0" fontId="34" fillId="0" borderId="24" xfId="0" applyFont="1" applyBorder="1" applyAlignment="1">
      <alignment horizontal="left" vertical="top" wrapText="1"/>
    </xf>
    <xf numFmtId="0" fontId="34" fillId="0" borderId="24" xfId="0" applyFont="1" applyBorder="1" applyAlignment="1">
      <alignment horizontal="left" vertical="top"/>
    </xf>
    <xf numFmtId="0" fontId="34" fillId="0" borderId="24" xfId="0" applyFont="1" applyBorder="1" applyAlignment="1">
      <alignment horizontal="center" vertical="center"/>
    </xf>
    <xf numFmtId="0" fontId="7" fillId="0" borderId="0" xfId="0" applyFont="1" applyFill="1" applyAlignment="1" applyProtection="1">
      <alignment horizontal="center" wrapText="1"/>
    </xf>
    <xf numFmtId="0" fontId="4" fillId="5" borderId="20" xfId="0" applyFont="1" applyFill="1" applyBorder="1" applyAlignment="1" applyProtection="1">
      <alignment horizontal="center"/>
    </xf>
    <xf numFmtId="0" fontId="3" fillId="3" borderId="0" xfId="0" applyFont="1" applyFill="1" applyBorder="1" applyAlignment="1" applyProtection="1">
      <alignment horizontal="left"/>
      <protection locked="0"/>
    </xf>
    <xf numFmtId="0" fontId="2" fillId="4" borderId="3" xfId="0" applyFont="1" applyFill="1" applyBorder="1" applyAlignment="1" applyProtection="1">
      <alignment horizontal="center"/>
    </xf>
    <xf numFmtId="0" fontId="2" fillId="5" borderId="3" xfId="0" applyFont="1" applyFill="1" applyBorder="1" applyAlignment="1" applyProtection="1">
      <alignment horizontal="center"/>
    </xf>
    <xf numFmtId="0" fontId="9" fillId="0" borderId="0" xfId="0" applyFont="1" applyFill="1" applyAlignment="1" applyProtection="1">
      <alignment horizontal="right"/>
    </xf>
    <xf numFmtId="0" fontId="4" fillId="4" borderId="20" xfId="0" applyFont="1" applyFill="1" applyBorder="1" applyAlignment="1" applyProtection="1">
      <alignment horizontal="center"/>
    </xf>
    <xf numFmtId="0" fontId="7" fillId="0" borderId="0" xfId="0" applyFont="1" applyFill="1" applyAlignment="1" applyProtection="1">
      <alignment horizontal="center"/>
    </xf>
    <xf numFmtId="0" fontId="3" fillId="0" borderId="0" xfId="0" applyFont="1" applyFill="1" applyBorder="1" applyAlignment="1" applyProtection="1">
      <alignment horizontal="left"/>
    </xf>
    <xf numFmtId="0" fontId="20" fillId="0" borderId="5" xfId="0" applyFont="1" applyFill="1" applyBorder="1" applyAlignment="1" applyProtection="1">
      <alignment horizontal="center" vertical="center"/>
    </xf>
    <xf numFmtId="0" fontId="20" fillId="0" borderId="5" xfId="0" applyFont="1" applyFill="1" applyBorder="1" applyAlignment="1" applyProtection="1"/>
    <xf numFmtId="0" fontId="18" fillId="5" borderId="4" xfId="0" applyFont="1" applyFill="1" applyBorder="1" applyAlignment="1" applyProtection="1">
      <alignment horizontal="left" wrapText="1"/>
    </xf>
    <xf numFmtId="0" fontId="18" fillId="5" borderId="5" xfId="0" applyFont="1" applyFill="1" applyBorder="1" applyAlignment="1" applyProtection="1">
      <alignment horizontal="left" wrapText="1"/>
    </xf>
    <xf numFmtId="0" fontId="0" fillId="0" borderId="5" xfId="0" applyBorder="1" applyAlignment="1" applyProtection="1">
      <alignment horizontal="left" wrapText="1"/>
    </xf>
    <xf numFmtId="0" fontId="4" fillId="0" borderId="0" xfId="0" applyFont="1" applyFill="1" applyAlignment="1" applyProtection="1">
      <alignment horizontal="center" vertical="center"/>
    </xf>
    <xf numFmtId="0" fontId="0" fillId="0" borderId="0" xfId="0" applyFont="1" applyFill="1" applyAlignment="1" applyProtection="1">
      <alignment horizontal="center" vertical="center"/>
    </xf>
    <xf numFmtId="0" fontId="4" fillId="0" borderId="5" xfId="0"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30" fillId="0" borderId="0" xfId="0" applyFont="1" applyFill="1" applyAlignment="1" applyProtection="1">
      <alignment horizontal="center" vertical="distributed"/>
    </xf>
    <xf numFmtId="0" fontId="18" fillId="5" borderId="4" xfId="0" applyFont="1" applyFill="1" applyBorder="1" applyAlignment="1" applyProtection="1">
      <alignment horizontal="left" vertical="center" wrapText="1"/>
    </xf>
    <xf numFmtId="0" fontId="18" fillId="5" borderId="5" xfId="0"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5" xfId="0" applyBorder="1" applyAlignment="1" applyProtection="1">
      <alignment horizontal="left" vertical="center"/>
    </xf>
    <xf numFmtId="0" fontId="19" fillId="7" borderId="0" xfId="0" applyFont="1" applyFill="1" applyBorder="1" applyAlignment="1" applyProtection="1">
      <alignment horizontal="left"/>
    </xf>
    <xf numFmtId="0" fontId="2" fillId="4" borderId="2" xfId="0" applyFont="1" applyFill="1" applyBorder="1" applyAlignment="1" applyProtection="1">
      <alignment horizontal="center"/>
    </xf>
    <xf numFmtId="0" fontId="0" fillId="0" borderId="2" xfId="0" applyBorder="1" applyAlignment="1"/>
  </cellXfs>
  <cellStyles count="4">
    <cellStyle name="Chart" xfId="2" xr:uid="{00000000-0005-0000-0000-000000000000}"/>
    <cellStyle name="Normal" xfId="0" builtinId="0"/>
    <cellStyle name="Normal 2" xfId="1" xr:uid="{00000000-0005-0000-0000-000002000000}"/>
    <cellStyle name="Normal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D9D9"/>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WY_DES\PDMA\QBS%20Documents\Working%20documents\Incentives_Spreadsheet\wflhd_incentives_adjustment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cquisition Obligation Summary"/>
      <sheetName val="Incentive Sheet1"/>
      <sheetName val="Incentive Sheet2"/>
      <sheetName val="Incentive Sheet3"/>
      <sheetName val="Incentive Sheet4"/>
      <sheetName val="Incentive Sheet5"/>
      <sheetName val="Incentive Sheet6"/>
      <sheetName val="Incentive Sheet7"/>
      <sheetName val="VLookup tabl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
  <sheetViews>
    <sheetView showGridLines="0" workbookViewId="0">
      <selection activeCell="S6" sqref="S6"/>
    </sheetView>
  </sheetViews>
  <sheetFormatPr defaultRowHeight="14.4" x14ac:dyDescent="0.3"/>
  <cols>
    <col min="13" max="13" width="9.77734375" customWidth="1"/>
    <col min="15" max="15" width="21.109375" customWidth="1"/>
    <col min="16" max="16" width="26.77734375" customWidth="1"/>
  </cols>
  <sheetData>
    <row r="1" spans="1:30" ht="15" thickBot="1" x14ac:dyDescent="0.35">
      <c r="A1" s="377"/>
      <c r="B1" s="376" t="s">
        <v>434</v>
      </c>
      <c r="C1" s="377"/>
      <c r="D1" s="377"/>
      <c r="E1" s="377"/>
      <c r="F1" s="377"/>
      <c r="G1" s="377"/>
      <c r="H1" s="377"/>
      <c r="I1" s="377"/>
      <c r="J1" s="377"/>
      <c r="K1" s="377"/>
      <c r="L1" s="377"/>
      <c r="M1" s="377"/>
      <c r="N1" s="365"/>
      <c r="O1" s="365"/>
      <c r="P1" s="365"/>
      <c r="Q1" s="365"/>
      <c r="R1" s="365"/>
      <c r="S1" s="365"/>
      <c r="T1" s="365"/>
      <c r="U1" s="365"/>
      <c r="V1" s="365"/>
      <c r="W1" s="365"/>
      <c r="X1" s="365"/>
      <c r="Y1" s="365"/>
      <c r="Z1" s="365"/>
      <c r="AA1" s="365"/>
      <c r="AB1" s="365"/>
      <c r="AC1" s="365"/>
      <c r="AD1" s="365"/>
    </row>
    <row r="2" spans="1:30" ht="28.2" customHeight="1" thickBot="1" x14ac:dyDescent="0.35">
      <c r="A2" s="377"/>
      <c r="B2" s="377"/>
      <c r="C2" s="377"/>
      <c r="D2" s="377"/>
      <c r="E2" s="377"/>
      <c r="F2" s="377"/>
      <c r="G2" s="377"/>
      <c r="H2" s="377"/>
      <c r="I2" s="377"/>
      <c r="J2" s="377"/>
      <c r="K2" s="377"/>
      <c r="L2" s="377"/>
      <c r="M2" s="377"/>
      <c r="N2" s="365"/>
      <c r="O2" s="365"/>
      <c r="P2" s="365"/>
      <c r="Q2" s="365"/>
      <c r="R2" s="365"/>
      <c r="S2" s="365"/>
      <c r="T2" s="365"/>
      <c r="U2" s="365"/>
      <c r="V2" s="365"/>
      <c r="W2" s="365"/>
      <c r="X2" s="365"/>
      <c r="Y2" s="365"/>
      <c r="Z2" s="365"/>
      <c r="AA2" s="365"/>
      <c r="AB2" s="365"/>
      <c r="AC2" s="365"/>
      <c r="AD2" s="365"/>
    </row>
    <row r="3" spans="1:30" ht="15" thickBot="1" x14ac:dyDescent="0.35">
      <c r="A3" s="380">
        <v>1</v>
      </c>
      <c r="B3" s="378" t="s">
        <v>441</v>
      </c>
      <c r="C3" s="379"/>
      <c r="D3" s="379"/>
      <c r="E3" s="379"/>
      <c r="F3" s="379"/>
      <c r="G3" s="379"/>
      <c r="H3" s="379"/>
      <c r="I3" s="379"/>
      <c r="J3" s="379"/>
      <c r="K3" s="379"/>
      <c r="L3" s="379"/>
      <c r="M3" s="379"/>
      <c r="N3" s="365"/>
      <c r="O3" s="365"/>
      <c r="P3" s="365"/>
      <c r="Q3" s="365"/>
      <c r="R3" s="365"/>
      <c r="S3" s="365"/>
      <c r="T3" s="365"/>
      <c r="U3" s="365"/>
      <c r="V3" s="365"/>
      <c r="W3" s="365"/>
      <c r="X3" s="365"/>
      <c r="Y3" s="365"/>
      <c r="Z3" s="365"/>
      <c r="AA3" s="365"/>
      <c r="AB3" s="365"/>
      <c r="AC3" s="365"/>
      <c r="AD3" s="365"/>
    </row>
    <row r="4" spans="1:30" ht="15" thickBot="1" x14ac:dyDescent="0.35">
      <c r="A4" s="380"/>
      <c r="B4" s="379"/>
      <c r="C4" s="379"/>
      <c r="D4" s="379"/>
      <c r="E4" s="379"/>
      <c r="F4" s="379"/>
      <c r="G4" s="379"/>
      <c r="H4" s="379"/>
      <c r="I4" s="379"/>
      <c r="J4" s="379"/>
      <c r="K4" s="379"/>
      <c r="L4" s="379"/>
      <c r="M4" s="379"/>
      <c r="N4" s="365"/>
      <c r="O4" s="370" t="s">
        <v>438</v>
      </c>
      <c r="P4" s="366"/>
      <c r="Q4" s="365"/>
      <c r="R4" s="365"/>
      <c r="S4" s="365"/>
      <c r="T4" s="365"/>
      <c r="U4" s="365"/>
      <c r="V4" s="365"/>
      <c r="W4" s="365"/>
      <c r="X4" s="365"/>
      <c r="Y4" s="365"/>
      <c r="Z4" s="365"/>
      <c r="AA4" s="365"/>
      <c r="AB4" s="365"/>
      <c r="AC4" s="365"/>
      <c r="AD4" s="365"/>
    </row>
    <row r="5" spans="1:30" ht="66" customHeight="1" thickBot="1" x14ac:dyDescent="0.35">
      <c r="A5" s="380"/>
      <c r="B5" s="379"/>
      <c r="C5" s="379"/>
      <c r="D5" s="379"/>
      <c r="E5" s="379"/>
      <c r="F5" s="379"/>
      <c r="G5" s="379"/>
      <c r="H5" s="379"/>
      <c r="I5" s="379"/>
      <c r="J5" s="379"/>
      <c r="K5" s="379"/>
      <c r="L5" s="379"/>
      <c r="M5" s="379"/>
      <c r="N5" s="365"/>
      <c r="O5" s="371" t="s">
        <v>437</v>
      </c>
      <c r="P5" s="366"/>
      <c r="Q5" s="365"/>
      <c r="R5" s="365"/>
      <c r="S5" s="365"/>
      <c r="T5" s="365"/>
      <c r="U5" s="365"/>
      <c r="V5" s="365"/>
      <c r="W5" s="365"/>
      <c r="X5" s="365"/>
      <c r="Y5" s="365"/>
      <c r="Z5" s="365"/>
      <c r="AA5" s="365"/>
      <c r="AB5" s="365"/>
      <c r="AC5" s="365"/>
      <c r="AD5" s="365"/>
    </row>
    <row r="6" spans="1:30" ht="14.4" customHeight="1" thickBot="1" x14ac:dyDescent="0.35">
      <c r="A6" s="380">
        <v>2</v>
      </c>
      <c r="B6" s="378" t="s">
        <v>442</v>
      </c>
      <c r="C6" s="378"/>
      <c r="D6" s="378"/>
      <c r="E6" s="378"/>
      <c r="F6" s="378"/>
      <c r="G6" s="378"/>
      <c r="H6" s="378"/>
      <c r="I6" s="378"/>
      <c r="J6" s="378"/>
      <c r="K6" s="378"/>
      <c r="L6" s="378"/>
      <c r="M6" s="378"/>
      <c r="N6" s="365"/>
      <c r="O6" s="370" t="s">
        <v>439</v>
      </c>
      <c r="P6" s="366" t="s">
        <v>161</v>
      </c>
      <c r="Q6" s="365"/>
      <c r="R6" s="365"/>
      <c r="S6" s="365"/>
      <c r="T6" s="365"/>
      <c r="U6" s="365"/>
      <c r="V6" s="365"/>
      <c r="W6" s="365"/>
      <c r="X6" s="365"/>
      <c r="Y6" s="365"/>
      <c r="Z6" s="365"/>
      <c r="AA6" s="365"/>
      <c r="AB6" s="365"/>
      <c r="AC6" s="365"/>
      <c r="AD6" s="365"/>
    </row>
    <row r="7" spans="1:30" ht="21" customHeight="1" thickBot="1" x14ac:dyDescent="0.35">
      <c r="A7" s="380"/>
      <c r="B7" s="378"/>
      <c r="C7" s="378"/>
      <c r="D7" s="378"/>
      <c r="E7" s="378"/>
      <c r="F7" s="378"/>
      <c r="G7" s="378"/>
      <c r="H7" s="378"/>
      <c r="I7" s="378"/>
      <c r="J7" s="378"/>
      <c r="K7" s="378"/>
      <c r="L7" s="378"/>
      <c r="M7" s="378"/>
      <c r="N7" s="365"/>
      <c r="O7" s="368" t="s">
        <v>435</v>
      </c>
      <c r="P7" s="367" t="s">
        <v>16</v>
      </c>
      <c r="Q7" s="365"/>
      <c r="R7" s="365"/>
      <c r="S7" s="365"/>
      <c r="T7" s="365"/>
      <c r="U7" s="365"/>
      <c r="V7" s="365"/>
      <c r="W7" s="365"/>
      <c r="X7" s="365"/>
      <c r="Y7" s="365"/>
      <c r="Z7" s="365"/>
      <c r="AA7" s="365"/>
      <c r="AB7" s="365"/>
      <c r="AC7" s="365"/>
      <c r="AD7" s="365"/>
    </row>
    <row r="8" spans="1:30" ht="356.4" customHeight="1" thickBot="1" x14ac:dyDescent="0.35">
      <c r="A8" s="380"/>
      <c r="B8" s="378"/>
      <c r="C8" s="378"/>
      <c r="D8" s="378"/>
      <c r="E8" s="378"/>
      <c r="F8" s="378"/>
      <c r="G8" s="378"/>
      <c r="H8" s="378"/>
      <c r="I8" s="378"/>
      <c r="J8" s="378"/>
      <c r="K8" s="378"/>
      <c r="L8" s="378"/>
      <c r="M8" s="378"/>
      <c r="N8" s="365"/>
      <c r="O8" s="365"/>
      <c r="P8" s="365"/>
      <c r="Q8" s="365"/>
      <c r="R8" s="365"/>
      <c r="S8" s="365"/>
      <c r="T8" s="365"/>
      <c r="U8" s="365"/>
      <c r="V8" s="365"/>
      <c r="W8" s="365"/>
      <c r="X8" s="365"/>
      <c r="Y8" s="365"/>
      <c r="Z8" s="365"/>
      <c r="AA8" s="365"/>
      <c r="AB8" s="365"/>
      <c r="AC8" s="365"/>
      <c r="AD8" s="365"/>
    </row>
    <row r="9" spans="1:30" ht="87" customHeight="1" thickBot="1" x14ac:dyDescent="0.35">
      <c r="A9" s="369">
        <v>3</v>
      </c>
      <c r="B9" s="374" t="s">
        <v>440</v>
      </c>
      <c r="C9" s="375"/>
      <c r="D9" s="375"/>
      <c r="E9" s="375"/>
      <c r="F9" s="375"/>
      <c r="G9" s="375"/>
      <c r="H9" s="375"/>
      <c r="I9" s="375"/>
      <c r="J9" s="375"/>
      <c r="K9" s="375"/>
      <c r="L9" s="375"/>
      <c r="M9" s="375"/>
      <c r="N9" s="365"/>
      <c r="O9" s="365"/>
      <c r="P9" s="365"/>
      <c r="Q9" s="365"/>
      <c r="R9" s="365"/>
      <c r="S9" s="365"/>
      <c r="T9" s="365"/>
      <c r="U9" s="365"/>
      <c r="V9" s="365"/>
      <c r="W9" s="365"/>
      <c r="X9" s="365"/>
      <c r="Y9" s="365"/>
      <c r="Z9" s="365"/>
      <c r="AA9" s="365"/>
      <c r="AB9" s="365"/>
      <c r="AC9" s="365"/>
      <c r="AD9" s="365"/>
    </row>
    <row r="10" spans="1:30" s="365" customFormat="1" x14ac:dyDescent="0.3">
      <c r="M10" s="370" t="s">
        <v>443</v>
      </c>
      <c r="N10" s="373"/>
    </row>
    <row r="11" spans="1:30" s="365" customFormat="1" x14ac:dyDescent="0.3"/>
    <row r="12" spans="1:30" s="365" customFormat="1" x14ac:dyDescent="0.3"/>
    <row r="13" spans="1:30" s="365" customFormat="1" x14ac:dyDescent="0.3"/>
    <row r="14" spans="1:30" s="365" customFormat="1" x14ac:dyDescent="0.3"/>
    <row r="15" spans="1:30" s="365" customFormat="1" x14ac:dyDescent="0.3"/>
    <row r="16" spans="1:30" s="365" customFormat="1" x14ac:dyDescent="0.3"/>
    <row r="17" s="365" customFormat="1" x14ac:dyDescent="0.3"/>
    <row r="18" s="365" customFormat="1" x14ac:dyDescent="0.3"/>
    <row r="19" s="365" customFormat="1" x14ac:dyDescent="0.3"/>
    <row r="20" s="365" customFormat="1" x14ac:dyDescent="0.3"/>
    <row r="21" s="365" customFormat="1" x14ac:dyDescent="0.3"/>
    <row r="22" s="365" customFormat="1" x14ac:dyDescent="0.3"/>
    <row r="23" s="365" customFormat="1" x14ac:dyDescent="0.3"/>
    <row r="24" s="365" customFormat="1" x14ac:dyDescent="0.3"/>
    <row r="25" s="365" customFormat="1" x14ac:dyDescent="0.3"/>
    <row r="26" s="365" customFormat="1" x14ac:dyDescent="0.3"/>
    <row r="27" s="365" customFormat="1" x14ac:dyDescent="0.3"/>
    <row r="28" s="365" customFormat="1" x14ac:dyDescent="0.3"/>
    <row r="29" s="365" customFormat="1" x14ac:dyDescent="0.3"/>
    <row r="30" s="365" customFormat="1" x14ac:dyDescent="0.3"/>
    <row r="31" s="365" customFormat="1" x14ac:dyDescent="0.3"/>
    <row r="32" s="365" customFormat="1" x14ac:dyDescent="0.3"/>
    <row r="33" s="365" customFormat="1" x14ac:dyDescent="0.3"/>
    <row r="34" s="365" customFormat="1" x14ac:dyDescent="0.3"/>
    <row r="35" s="365" customFormat="1" x14ac:dyDescent="0.3"/>
    <row r="36" s="365" customFormat="1" x14ac:dyDescent="0.3"/>
    <row r="37" s="365" customFormat="1" x14ac:dyDescent="0.3"/>
    <row r="38" s="365" customFormat="1" x14ac:dyDescent="0.3"/>
    <row r="39" s="365" customFormat="1" x14ac:dyDescent="0.3"/>
    <row r="40" s="365" customFormat="1" x14ac:dyDescent="0.3"/>
    <row r="41" s="365" customFormat="1" x14ac:dyDescent="0.3"/>
    <row r="42" s="365" customFormat="1" x14ac:dyDescent="0.3"/>
    <row r="43" s="365" customFormat="1" x14ac:dyDescent="0.3"/>
    <row r="44" s="365" customFormat="1" x14ac:dyDescent="0.3"/>
    <row r="45" s="365" customFormat="1" x14ac:dyDescent="0.3"/>
    <row r="46" s="365" customFormat="1" x14ac:dyDescent="0.3"/>
    <row r="47" s="365" customFormat="1" x14ac:dyDescent="0.3"/>
    <row r="48" s="365" customFormat="1" x14ac:dyDescent="0.3"/>
    <row r="49" s="365" customFormat="1" x14ac:dyDescent="0.3"/>
    <row r="50" s="365" customFormat="1" x14ac:dyDescent="0.3"/>
    <row r="51" s="365" customFormat="1" x14ac:dyDescent="0.3"/>
    <row r="52" s="365" customFormat="1" x14ac:dyDescent="0.3"/>
    <row r="53" s="365" customFormat="1" x14ac:dyDescent="0.3"/>
    <row r="54" s="365" customFormat="1" x14ac:dyDescent="0.3"/>
    <row r="55" s="365" customFormat="1" x14ac:dyDescent="0.3"/>
  </sheetData>
  <mergeCells count="7">
    <mergeCell ref="B9:M9"/>
    <mergeCell ref="B1:M2"/>
    <mergeCell ref="A1:A2"/>
    <mergeCell ref="B3:M5"/>
    <mergeCell ref="A3:A5"/>
    <mergeCell ref="B6:M8"/>
    <mergeCell ref="A6:A8"/>
  </mergeCells>
  <dataValidations count="4">
    <dataValidation allowBlank="1" showInputMessage="1" showErrorMessage="1" promptTitle="Enter project name" prompt="Example:  Pinto Basin Road" sqref="P5" xr:uid="{00000000-0002-0000-0000-000000000000}"/>
    <dataValidation allowBlank="1" showInputMessage="1" showErrorMessage="1" promptTitle="Enter project number" prompt="Example:  CA FTNP JOTR 11(5)" sqref="P4" xr:uid="{00000000-0002-0000-0000-000001000000}"/>
    <dataValidation type="list" allowBlank="1" showInputMessage="1" showErrorMessage="1" error="Please use the drop-down menu to select the project units" promptTitle="Select Units" prompt="Select Metric or US Customary" sqref="P6" xr:uid="{00000000-0002-0000-0000-000002000000}">
      <formula1>"METRIC, US CUSTOMARY"</formula1>
    </dataValidation>
    <dataValidation type="list" allowBlank="1" showInputMessage="1" showErrorMessage="1" error="Please use the drop-down menu to select the FP version" promptTitle="Select FP Version" prompt="Select FP-03 or FP-14" sqref="P7" xr:uid="{00000000-0002-0000-0000-000003000000}">
      <formula1>" , FP-03, FP-14"</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87"/>
  <sheetViews>
    <sheetView zoomScaleNormal="100" workbookViewId="0">
      <selection activeCell="N27" sqref="N27"/>
    </sheetView>
  </sheetViews>
  <sheetFormatPr defaultColWidth="9.109375" defaultRowHeight="13.2" x14ac:dyDescent="0.25"/>
  <cols>
    <col min="1" max="1" width="14.109375" style="6" customWidth="1"/>
    <col min="2" max="2" width="1.6640625" style="6" customWidth="1"/>
    <col min="3" max="3" width="30.109375" style="6" customWidth="1"/>
    <col min="4" max="4" width="1.77734375"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tr">
        <f>'SCH A'!A2</f>
        <v xml:space="preserve"> (Fill out this form regardless of the project being qualified for incentives or not)</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'SCH A'!C5</f>
        <v>0</v>
      </c>
      <c r="D5" s="41"/>
      <c r="E5" s="12"/>
      <c r="F5" s="12"/>
      <c r="G5" s="13"/>
      <c r="H5" s="14"/>
      <c r="I5" s="14" t="s">
        <v>4</v>
      </c>
      <c r="J5" s="15">
        <f ca="1" xml:space="preserve"> TODAY()</f>
        <v>44474</v>
      </c>
    </row>
    <row r="6" spans="1:10" ht="6" customHeight="1" x14ac:dyDescent="0.25">
      <c r="A6" s="11"/>
      <c r="B6" s="11"/>
      <c r="C6" s="362"/>
      <c r="D6" s="362"/>
      <c r="E6" s="12"/>
      <c r="F6" s="12"/>
      <c r="G6" s="13"/>
      <c r="H6" s="14"/>
      <c r="I6" s="14"/>
      <c r="J6" s="15"/>
    </row>
    <row r="7" spans="1:10" x14ac:dyDescent="0.25">
      <c r="A7" s="11" t="s">
        <v>3</v>
      </c>
      <c r="B7" s="11"/>
      <c r="C7" s="383">
        <f>'SCH A'!C7:G7</f>
        <v>0</v>
      </c>
      <c r="D7" s="383"/>
      <c r="E7" s="383"/>
      <c r="F7" s="383"/>
      <c r="G7" s="383"/>
      <c r="H7" s="253"/>
      <c r="I7" s="253" t="s">
        <v>433</v>
      </c>
      <c r="J7" s="1" t="s">
        <v>183</v>
      </c>
    </row>
    <row r="8" spans="1:10" ht="6" customHeight="1" x14ac:dyDescent="0.25">
      <c r="A8" s="11"/>
      <c r="B8" s="11"/>
      <c r="C8" s="362"/>
      <c r="D8" s="362"/>
      <c r="E8" s="362"/>
      <c r="F8" s="362"/>
      <c r="G8" s="362"/>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6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7" thickBot="1" x14ac:dyDescent="0.3">
      <c r="A14" s="325" t="s">
        <v>185</v>
      </c>
      <c r="B14" s="19"/>
      <c r="C14" s="19" t="s">
        <v>167</v>
      </c>
      <c r="D14" s="20"/>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4"/>
      <c r="E15" s="358"/>
      <c r="F15" s="25"/>
      <c r="G15" s="359"/>
      <c r="H15" s="26" t="str">
        <f>IFERROR(VLOOKUP(C15,inputSchE!$A$2:$F$105,6,FALSE),"")</f>
        <v/>
      </c>
      <c r="I15" s="361" t="str">
        <f>IFERROR(H15/G15,"")</f>
        <v/>
      </c>
      <c r="J15" s="26" t="str">
        <f>IF(AND(ISNUMBER(E15),ISNUMBER(H15)),E15*H15,"-")</f>
        <v>-</v>
      </c>
    </row>
    <row r="16" spans="1:10" ht="6" customHeight="1" x14ac:dyDescent="0.25">
      <c r="A16" s="352"/>
      <c r="B16" s="299"/>
      <c r="C16" s="348"/>
      <c r="D16" s="24"/>
      <c r="E16" s="330"/>
      <c r="F16" s="25"/>
      <c r="G16" s="27"/>
      <c r="H16" s="26"/>
      <c r="I16" s="361"/>
      <c r="J16" s="26"/>
    </row>
    <row r="17" spans="1:13" ht="13.8" x14ac:dyDescent="0.3">
      <c r="A17" s="300"/>
      <c r="B17" s="299"/>
      <c r="C17" s="347"/>
      <c r="D17" s="24"/>
      <c r="E17" s="358"/>
      <c r="F17" s="25"/>
      <c r="G17" s="359"/>
      <c r="H17" s="26" t="str">
        <f>IFERROR(VLOOKUP(C17,inputSchE!$A$2:$F$105,6,FALSE),"")</f>
        <v/>
      </c>
      <c r="I17" s="361" t="str">
        <f>IFERROR(H17/G17,"")</f>
        <v/>
      </c>
      <c r="J17" s="26" t="str">
        <f>IF(AND(ISNUMBER(E17),ISNUMBER(H17)),E17*H17,"-")</f>
        <v>-</v>
      </c>
    </row>
    <row r="18" spans="1:13" ht="6" customHeight="1" x14ac:dyDescent="0.25">
      <c r="A18" s="352"/>
      <c r="B18" s="299"/>
      <c r="C18" s="348"/>
      <c r="D18" s="24"/>
      <c r="E18" s="331"/>
      <c r="F18" s="25"/>
      <c r="G18" s="26"/>
      <c r="H18" s="26"/>
      <c r="I18" s="361"/>
      <c r="J18" s="26"/>
    </row>
    <row r="19" spans="1:13" ht="13.8" x14ac:dyDescent="0.3">
      <c r="A19" s="300"/>
      <c r="B19" s="299"/>
      <c r="C19" s="347"/>
      <c r="D19" s="24"/>
      <c r="E19" s="358"/>
      <c r="F19" s="25"/>
      <c r="G19" s="359"/>
      <c r="H19" s="26" t="str">
        <f>IFERROR(VLOOKUP(C19,inputSchE!$A$2:$F$105,6,FALSE),"")</f>
        <v/>
      </c>
      <c r="I19" s="361" t="str">
        <f>IFERROR(H19/G19,"")</f>
        <v/>
      </c>
      <c r="J19" s="26" t="str">
        <f>IF(AND(ISNUMBER(E19),ISNUMBER(H19)),E19*H19,"-")</f>
        <v>-</v>
      </c>
    </row>
    <row r="20" spans="1:13" ht="6" customHeight="1" x14ac:dyDescent="0.25">
      <c r="A20" s="352"/>
      <c r="B20" s="299"/>
      <c r="C20" s="348"/>
      <c r="D20" s="24"/>
      <c r="E20" s="331"/>
      <c r="F20" s="25"/>
      <c r="G20" s="26"/>
      <c r="H20" s="26"/>
      <c r="I20" s="361"/>
      <c r="J20" s="26"/>
    </row>
    <row r="21" spans="1:13" ht="13.8" x14ac:dyDescent="0.3">
      <c r="A21" s="300"/>
      <c r="B21" s="299"/>
      <c r="C21" s="347"/>
      <c r="D21" s="24"/>
      <c r="E21" s="358"/>
      <c r="F21" s="25"/>
      <c r="G21" s="359"/>
      <c r="H21" s="26" t="str">
        <f>IFERROR(VLOOKUP(C21,inputSchE!$A$2:$F$105,6,FALSE),"")</f>
        <v/>
      </c>
      <c r="I21" s="361" t="str">
        <f>IFERROR(H21/G21,"")</f>
        <v/>
      </c>
      <c r="J21" s="26" t="str">
        <f>IF(AND(ISNUMBER(E21),ISNUMBER(H21)),E21*H21,"-")</f>
        <v>-</v>
      </c>
    </row>
    <row r="22" spans="1:13" ht="6" customHeight="1" x14ac:dyDescent="0.25">
      <c r="A22" s="352"/>
      <c r="B22" s="299"/>
      <c r="C22" s="348"/>
      <c r="D22" s="24"/>
      <c r="E22" s="331"/>
      <c r="F22" s="25"/>
      <c r="G22" s="26"/>
      <c r="H22" s="26"/>
      <c r="I22" s="361"/>
      <c r="J22" s="26"/>
    </row>
    <row r="23" spans="1:13" ht="13.8" x14ac:dyDescent="0.3">
      <c r="A23" s="300"/>
      <c r="B23" s="299"/>
      <c r="C23" s="347"/>
      <c r="D23" s="24"/>
      <c r="E23" s="358"/>
      <c r="F23" s="25"/>
      <c r="G23" s="359"/>
      <c r="H23" s="26" t="str">
        <f>IFERROR(VLOOKUP(C23,inputSchE!$A$2:$F$105,6,FALSE),"")</f>
        <v/>
      </c>
      <c r="I23" s="361" t="str">
        <f>IFERROR(H23/G23,"")</f>
        <v/>
      </c>
      <c r="J23" s="26" t="str">
        <f>IF(AND(ISNUMBER(E23),ISNUMBER(H23)),E23*H23,"-")</f>
        <v>-</v>
      </c>
    </row>
    <row r="24" spans="1:13" ht="6" customHeight="1" x14ac:dyDescent="0.25">
      <c r="A24" s="352"/>
      <c r="B24" s="299"/>
      <c r="C24" s="348"/>
      <c r="D24" s="24"/>
      <c r="E24" s="331"/>
      <c r="F24" s="25"/>
      <c r="G24" s="26"/>
      <c r="H24" s="26"/>
      <c r="I24" s="361"/>
      <c r="J24" s="26"/>
    </row>
    <row r="25" spans="1:13" ht="13.8" x14ac:dyDescent="0.3">
      <c r="A25" s="300"/>
      <c r="B25" s="299"/>
      <c r="C25" s="347"/>
      <c r="D25" s="24"/>
      <c r="E25" s="358"/>
      <c r="F25" s="25"/>
      <c r="G25" s="359"/>
      <c r="H25" s="26" t="str">
        <f>IFERROR(VLOOKUP(C25,inputSchE!$A$2:$F$105,6,FALSE),"")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4"/>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4"/>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4"/>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63"/>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63"/>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1.4" x14ac:dyDescent="0.25">
      <c r="A68" s="317" t="s">
        <v>432</v>
      </c>
      <c r="B68" s="318"/>
      <c r="C68" s="319"/>
      <c r="D68" s="318"/>
      <c r="E68" s="320"/>
      <c r="F68" s="320"/>
      <c r="G68" s="321"/>
      <c r="H68" s="321"/>
      <c r="I68" s="321"/>
      <c r="J68" s="322"/>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362">
        <f>+C5</f>
        <v>0</v>
      </c>
      <c r="D72" s="362"/>
      <c r="E72" s="12"/>
      <c r="F72" s="12"/>
      <c r="G72" s="13"/>
      <c r="H72" s="14"/>
      <c r="I72" s="14" t="s">
        <v>4</v>
      </c>
      <c r="J72" s="15">
        <f ca="1" xml:space="preserve"> TODAY()</f>
        <v>44474</v>
      </c>
    </row>
    <row r="73" spans="1:10" ht="4.5" customHeight="1" x14ac:dyDescent="0.25">
      <c r="A73" s="11"/>
      <c r="B73" s="11"/>
      <c r="C73" s="362"/>
      <c r="D73" s="362"/>
      <c r="E73" s="12"/>
      <c r="F73" s="12"/>
      <c r="G73" s="13"/>
      <c r="H73" s="14"/>
      <c r="I73" s="14"/>
      <c r="J73" s="15"/>
    </row>
    <row r="74" spans="1:10" x14ac:dyDescent="0.25">
      <c r="A74" s="11" t="s">
        <v>3</v>
      </c>
      <c r="B74" s="11"/>
      <c r="C74" s="389">
        <f>+C7</f>
        <v>0</v>
      </c>
      <c r="D74" s="389"/>
      <c r="E74" s="389"/>
      <c r="F74" s="389"/>
      <c r="G74" s="389"/>
      <c r="H74" s="14"/>
      <c r="I74" s="14" t="str">
        <f>+I7</f>
        <v xml:space="preserve">Option: </v>
      </c>
      <c r="J74" s="17" t="str">
        <f>+J7</f>
        <v>E</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362">
        <f>+C5</f>
        <v>0</v>
      </c>
      <c r="D136" s="362"/>
      <c r="E136" s="12"/>
      <c r="F136" s="12"/>
      <c r="G136" s="13"/>
      <c r="H136" s="14"/>
      <c r="I136" s="14" t="s">
        <v>4</v>
      </c>
      <c r="J136" s="15">
        <f ca="1" xml:space="preserve"> TODAY()</f>
        <v>44474</v>
      </c>
    </row>
    <row r="137" spans="1:10" ht="3.75" customHeight="1" x14ac:dyDescent="0.25">
      <c r="A137" s="11"/>
      <c r="B137" s="11"/>
      <c r="C137" s="362"/>
      <c r="D137" s="362"/>
      <c r="E137" s="12"/>
      <c r="F137" s="12"/>
      <c r="G137" s="13"/>
      <c r="H137" s="14"/>
      <c r="I137" s="14"/>
      <c r="J137" s="15"/>
    </row>
    <row r="138" spans="1:10" x14ac:dyDescent="0.25">
      <c r="A138" s="11" t="s">
        <v>3</v>
      </c>
      <c r="B138" s="11"/>
      <c r="C138" s="389">
        <f>+C7</f>
        <v>0</v>
      </c>
      <c r="D138" s="389"/>
      <c r="E138" s="389"/>
      <c r="F138" s="389"/>
      <c r="G138" s="389"/>
      <c r="H138" s="14"/>
      <c r="I138" s="14" t="str">
        <f>+I7</f>
        <v xml:space="preserve">Option: </v>
      </c>
      <c r="J138" s="17" t="str">
        <f>+J7</f>
        <v>E</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7">
    <mergeCell ref="A143:C143"/>
    <mergeCell ref="A145:C145"/>
    <mergeCell ref="D148:D149"/>
    <mergeCell ref="D121:D122"/>
    <mergeCell ref="A123:C123"/>
    <mergeCell ref="D124:D125"/>
    <mergeCell ref="D127:D129"/>
    <mergeCell ref="A133:J133"/>
    <mergeCell ref="C138:G138"/>
    <mergeCell ref="D117:D119"/>
    <mergeCell ref="A41:J41"/>
    <mergeCell ref="A42:J42"/>
    <mergeCell ref="A51:H51"/>
    <mergeCell ref="A69:J69"/>
    <mergeCell ref="C74:G74"/>
    <mergeCell ref="D80:D89"/>
    <mergeCell ref="D91:D99"/>
    <mergeCell ref="D101:D102"/>
    <mergeCell ref="D104:D108"/>
    <mergeCell ref="D110:D112"/>
    <mergeCell ref="D114:D115"/>
    <mergeCell ref="A38:H38"/>
    <mergeCell ref="A1:J1"/>
    <mergeCell ref="C7:G7"/>
    <mergeCell ref="A12:J12"/>
    <mergeCell ref="A27:J27"/>
    <mergeCell ref="A28:J28"/>
  </mergeCells>
  <conditionalFormatting sqref="H15 H17 H19 H21 H23 H25">
    <cfRule type="expression" dxfId="1" priority="1">
      <formula>AND($H15=0,$E15&gt;0)=TRUE</formula>
    </cfRule>
  </conditionalFormatting>
  <dataValidations count="16">
    <dataValidation type="list" allowBlank="1" showInputMessage="1" showErrorMessage="1" promptTitle="Select Schedule Type " prompt="Select Schedule or Option " sqref="I7" xr:uid="{00000000-0002-0000-0900-000000000000}">
      <formula1>", Schedule: , Option: "</formula1>
    </dataValidation>
    <dataValidation allowBlank="1" showErrorMessage="1" promptTitle="Enter project name" prompt="Example:  Pinto Basin Road" sqref="C7:G7" xr:uid="{00000000-0002-0000-0900-000001000000}"/>
    <dataValidation allowBlank="1" showErrorMessage="1" promptTitle="Enter project number" prompt="Example:  CA FTNP JOTR 11(5)" sqref="C5:D5" xr:uid="{00000000-0002-0000-0900-000002000000}"/>
    <dataValidation type="list" allowBlank="1" showErrorMessage="1" error="Please use the drop-down menu to select the FP version" promptTitle="Select FP Version" prompt="Select FP-03 or FP-14" sqref="E3" xr:uid="{00000000-0002-0000-0900-000003000000}">
      <formula1>" , FP-03, FP-14"</formula1>
    </dataValidation>
    <dataValidation type="list" allowBlank="1" showErrorMessage="1" error="Please use the drop-down menu to select the project units" promptTitle="Select Units" prompt="Select Metric or US Customary" sqref="J9" xr:uid="{00000000-0002-0000-0900-000004000000}">
      <formula1>"METRIC, US CUSTOMARY"</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900-000005000000}">
      <formula1>"  , A, B, C, D, E, F, G, W, X, Y, Z"</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900-000006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900-000007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900-000008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900-000009000000}">
      <formula1>0</formula1>
    </dataValidation>
    <dataValidation type="whole" operator="greaterThanOrEqual" allowBlank="1" showInputMessage="1" showErrorMessage="1" error="Bid decimals set to zero._x000a__x000a_Contact Heidi Hirsbrunner (X3622)_x000a_                   _x000a_to modify Incentive Spreadsheet." sqref="E80:E89 E104:E108" xr:uid="{00000000-0002-0000-0900-00000A000000}">
      <formula1>0</formula1>
    </dataValidation>
    <dataValidation allowBlank="1" showErrorMessage="1" sqref="C83" xr:uid="{00000000-0002-0000-0900-00000B000000}"/>
    <dataValidation allowBlank="1" sqref="C72:D72 C136:D136" xr:uid="{00000000-0002-0000-0900-00000C000000}"/>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900-00000D000000}">
      <formula1>0</formula1>
    </dataValidation>
    <dataValidation type="list" allowBlank="1" showErrorMessage="1" promptTitle="Select Schedule Type " prompt="Select Schedule or Option " sqref="H7" xr:uid="{00000000-0002-0000-0900-00000F000000}">
      <formula1>", Schedule: , Option: "</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H15 H17 H19 H21 H23 H25" xr:uid="{00000000-0002-0000-0900-000010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11000000}">
          <x14:formula1>
            <xm:f>inputSchE!$A$2:$A$105</xm:f>
          </x14:formula1>
          <xm:sqref>C15 C17 C19 C21 C23 C25</xm:sqref>
        </x14:dataValidation>
        <x14:dataValidation type="list" allowBlank="1" showInputMessage="1" showErrorMessage="1" xr:uid="{00000000-0002-0000-0900-000012000000}">
          <x14:formula1>
            <xm:f>inputSchE!$A$134:$A$150</xm:f>
          </x14:formula1>
          <xm:sqref>A45 A47 A49</xm:sqref>
        </x14:dataValidation>
        <x14:dataValidation type="list" allowBlank="1" showInputMessage="1" showErrorMessage="1" xr:uid="{00000000-0002-0000-0900-000013000000}">
          <x14:formula1>
            <xm:f>inputSchE!$A$106:$A$134</xm:f>
          </x14:formula1>
          <xm:sqref>C31 C33 C35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50"/>
  <sheetViews>
    <sheetView workbookViewId="0">
      <pane xSplit="3" ySplit="1" topLeftCell="D77" activePane="bottomRight" state="frozen"/>
      <selection activeCell="F3" sqref="F3"/>
      <selection pane="topRight" activeCell="F3" sqref="F3"/>
      <selection pane="bottomLeft" activeCell="F3" sqref="F3"/>
      <selection pane="bottomRight" activeCell="F99" sqref="F99"/>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E'!$C$15:$E$25,3,FALSE),"")</f>
        <v/>
      </c>
      <c r="E2" s="360" t="str">
        <f>IFERROR(VLOOKUP($A2,'SCH E'!$C$15:$G$25,5,FALSE),"")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E'!$C$15:$E$25,3,FALSE),"")</f>
        <v/>
      </c>
      <c r="E3" s="360" t="str">
        <f>IFERROR(VLOOKUP($A3,'SCH E'!$C$15:$G$25,5,FALSE),"")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E'!$C$15:$E$25,3,FALSE),"")</f>
        <v/>
      </c>
      <c r="E4" s="360" t="str">
        <f>IFERROR(VLOOKUP($A4,'SCH E'!$C$15:$G$25,5,FALSE),"")</f>
        <v/>
      </c>
      <c r="F4" s="26" t="e">
        <f t="shared" si="0"/>
        <v>#VALUE!</v>
      </c>
    </row>
    <row r="5" spans="1:6" x14ac:dyDescent="0.3">
      <c r="A5" s="327" t="s">
        <v>192</v>
      </c>
      <c r="B5" s="327" t="s">
        <v>250</v>
      </c>
      <c r="C5" s="329" t="s">
        <v>247</v>
      </c>
      <c r="D5" s="345" t="str">
        <f>IFERROR(VLOOKUP($A5,'SCH E'!$C$15:$E$25,3,FALSE),"")</f>
        <v/>
      </c>
      <c r="E5" s="360" t="str">
        <f>IFERROR(VLOOKUP($A5,'SCH E'!$C$15:$G$25,5,FALSE),"")</f>
        <v/>
      </c>
      <c r="F5" s="26" t="e">
        <f t="shared" si="0"/>
        <v>#VALUE!</v>
      </c>
    </row>
    <row r="6" spans="1:6" x14ac:dyDescent="0.3">
      <c r="A6" s="326" t="s">
        <v>193</v>
      </c>
      <c r="B6" s="326" t="s">
        <v>251</v>
      </c>
      <c r="C6" s="328" t="s">
        <v>247</v>
      </c>
      <c r="D6" s="345" t="str">
        <f>IFERROR(VLOOKUP($A6,'SCH E'!$C$15:$E$25,3,FALSE),"")</f>
        <v/>
      </c>
      <c r="E6" s="360" t="str">
        <f>IFERROR(VLOOKUP($A6,'SCH E'!$C$15:$G$25,5,FALSE),"")</f>
        <v/>
      </c>
      <c r="F6" s="26" t="e">
        <f t="shared" si="0"/>
        <v>#VALUE!</v>
      </c>
    </row>
    <row r="7" spans="1:6" x14ac:dyDescent="0.3">
      <c r="A7" s="327" t="s">
        <v>194</v>
      </c>
      <c r="B7" s="327" t="s">
        <v>246</v>
      </c>
      <c r="C7" s="329" t="s">
        <v>46</v>
      </c>
      <c r="D7" s="345" t="str">
        <f>IFERROR(VLOOKUP($A7,'SCH E'!$C$15:$E$25,3,FALSE),"")</f>
        <v/>
      </c>
      <c r="E7" s="360" t="str">
        <f>IFERROR(VLOOKUP($A7,'SCH E'!$C$15:$G$25,5,FALSE),"")</f>
        <v/>
      </c>
      <c r="F7" s="346"/>
    </row>
    <row r="8" spans="1:6" x14ac:dyDescent="0.3">
      <c r="A8" s="326" t="s">
        <v>195</v>
      </c>
      <c r="B8" s="326" t="s">
        <v>252</v>
      </c>
      <c r="C8" s="328" t="s">
        <v>46</v>
      </c>
      <c r="D8" s="345" t="str">
        <f>IFERROR(VLOOKUP($A8,'SCH E'!$C$15:$E$25,3,FALSE),"")</f>
        <v/>
      </c>
      <c r="E8" s="360" t="str">
        <f>IFERROR(VLOOKUP($A8,'SCH E'!$C$15:$G$25,5,FALSE),"")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E'!$C$15:$E$25,3,FALSE),"")</f>
        <v/>
      </c>
      <c r="E9" s="360" t="str">
        <f>IFERROR(VLOOKUP($A9,'SCH E'!$C$15:$G$25,5,FALSE),"")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E'!$C$15:$E$25,3,FALSE),"")</f>
        <v/>
      </c>
      <c r="E10" s="360" t="str">
        <f>IFERROR(VLOOKUP($A10,'SCH E'!$C$15:$G$25,5,FALSE),"")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E'!$C$15:$E$25,3,FALSE),"")</f>
        <v/>
      </c>
      <c r="E11" s="360" t="str">
        <f>IFERROR(VLOOKUP($A11,'SCH E'!$C$15:$G$25,5,FALSE),"")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E'!$C$15:$E$25,3,FALSE),"")</f>
        <v/>
      </c>
      <c r="E12" s="360" t="str">
        <f>IFERROR(VLOOKUP($A12,'SCH E'!$C$15:$G$25,5,FALSE),"")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E'!$C$15:$E$25,3,FALSE),"")</f>
        <v/>
      </c>
      <c r="E13" s="360" t="str">
        <f>IFERROR(VLOOKUP($A13,'SCH E'!$C$15:$G$25,5,FALSE),"")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E'!$C$15:$E$25,3,FALSE),"")</f>
        <v/>
      </c>
      <c r="E14" s="360" t="str">
        <f>IFERROR(VLOOKUP($A14,'SCH E'!$C$15:$G$25,5,FALSE),"")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E'!$C$15:$E$25,3,FALSE),"")</f>
        <v/>
      </c>
      <c r="E15" s="360" t="str">
        <f>IFERROR(VLOOKUP($A15,'SCH E'!$C$15:$G$25,5,FALSE),"")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E'!$C$15:$E$25,3,FALSE),"")</f>
        <v/>
      </c>
      <c r="E16" s="360" t="str">
        <f>IFERROR(VLOOKUP($A16,'SCH E'!$C$15:$G$25,5,FALSE),"")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E'!$C$15:$E$25,3,FALSE),"")</f>
        <v/>
      </c>
      <c r="E17" s="360" t="str">
        <f>IFERROR(VLOOKUP($A17,'SCH E'!$C$15:$G$25,5,FALSE),"")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E'!$C$15:$E$25,3,FALSE),"")</f>
        <v/>
      </c>
      <c r="E18" s="360" t="str">
        <f>IFERROR(VLOOKUP($A18,'SCH E'!$C$15:$G$25,5,FALSE),"")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E'!$C$15:$E$25,3,FALSE),"")</f>
        <v/>
      </c>
      <c r="E19" s="360" t="str">
        <f>IFERROR(VLOOKUP($A19,'SCH E'!$C$15:$G$25,5,FALSE),"")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E'!$C$15:$E$25,3,FALSE),"")</f>
        <v/>
      </c>
      <c r="E20" s="360" t="str">
        <f>IFERROR(VLOOKUP($A20,'SCH E'!$C$15:$G$25,5,FALSE),"")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E'!$C$15:$E$25,3,FALSE),"")</f>
        <v/>
      </c>
      <c r="E21" s="360" t="str">
        <f>IFERROR(VLOOKUP($A21,'SCH E'!$C$15:$G$25,5,FALSE),"")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E'!$C$15:$E$25,3,FALSE),"")</f>
        <v/>
      </c>
      <c r="E22" s="360" t="str">
        <f>IFERROR(VLOOKUP($A22,'SCH E'!$C$15:$G$25,5,FALSE),"")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E'!$C$15:$E$25,3,FALSE),"")</f>
        <v/>
      </c>
      <c r="E23" s="360" t="str">
        <f>IFERROR(VLOOKUP($A23,'SCH E'!$C$15:$G$25,5,FALSE),"")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E'!$C$15:$E$25,3,FALSE),"")</f>
        <v/>
      </c>
      <c r="E24" s="360" t="str">
        <f>IFERROR(VLOOKUP($A24,'SCH E'!$C$15:$G$25,5,FALSE),"")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E'!$C$15:$E$25,3,FALSE),"")</f>
        <v/>
      </c>
      <c r="E25" s="360" t="str">
        <f>IFERROR(VLOOKUP($A25,'SCH E'!$C$15:$G$25,5,FALSE),"")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E'!$C$15:$E$25,3,FALSE),"")</f>
        <v/>
      </c>
      <c r="E26" s="360" t="str">
        <f>IFERROR(VLOOKUP($A26,'SCH E'!$C$15:$G$25,5,FALSE),"")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E'!$C$15:$E$25,3,FALSE),"")</f>
        <v/>
      </c>
      <c r="E27" s="360" t="str">
        <f>IFERROR(VLOOKUP($A27,'SCH E'!$C$15:$G$25,5,FALSE),"")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E'!$C$15:$E$25,3,FALSE),"")</f>
        <v/>
      </c>
      <c r="E28" s="360" t="str">
        <f>IFERROR(VLOOKUP($A28,'SCH E'!$C$15:$G$25,5,FALSE),"")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E'!$C$15:$E$25,3,FALSE),"")</f>
        <v/>
      </c>
      <c r="E29" s="360" t="str">
        <f>IFERROR(VLOOKUP($A29,'SCH E'!$C$15:$G$25,5,FALSE),"")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E'!$C$15:$E$25,3,FALSE),"")</f>
        <v/>
      </c>
      <c r="E30" s="360" t="str">
        <f>IFERROR(VLOOKUP($A30,'SCH E'!$C$15:$G$25,5,FALSE),"")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E'!$C$15:$E$25,3,FALSE),"")</f>
        <v/>
      </c>
      <c r="E31" s="360" t="str">
        <f>IFERROR(VLOOKUP($A31,'SCH E'!$C$15:$G$25,5,FALSE),"")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E'!$C$15:$E$25,3,FALSE),"")</f>
        <v/>
      </c>
      <c r="E32" s="360" t="str">
        <f>IFERROR(VLOOKUP($A32,'SCH E'!$C$15:$G$25,5,FALSE),"")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E'!$C$15:$E$25,3,FALSE),"")</f>
        <v/>
      </c>
      <c r="E33" s="360" t="str">
        <f>IFERROR(VLOOKUP($A33,'SCH E'!$C$15:$G$25,5,FALSE),"")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E'!$C$15:$E$25,3,FALSE),"")</f>
        <v/>
      </c>
      <c r="E34" s="360" t="str">
        <f>IFERROR(VLOOKUP($A34,'SCH E'!$C$15:$G$25,5,FALSE),"")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E'!$C$15:$E$25,3,FALSE),"")</f>
        <v/>
      </c>
      <c r="E35" s="360" t="str">
        <f>IFERROR(VLOOKUP($A35,'SCH E'!$C$15:$G$25,5,FALSE),"")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E'!$C$15:$E$25,3,FALSE),"")</f>
        <v/>
      </c>
      <c r="E36" s="360" t="str">
        <f>IFERROR(VLOOKUP($A36,'SCH E'!$C$15:$G$25,5,FALSE),"")</f>
        <v/>
      </c>
      <c r="F36" s="26" t="e">
        <f t="shared" si="1"/>
        <v>#VALUE!</v>
      </c>
    </row>
    <row r="37" spans="1:6" x14ac:dyDescent="0.3">
      <c r="A37" s="327" t="s">
        <v>187</v>
      </c>
      <c r="B37" s="327" t="s">
        <v>251</v>
      </c>
      <c r="C37" s="329" t="s">
        <v>277</v>
      </c>
      <c r="D37" s="345" t="str">
        <f>IFERROR(VLOOKUP($A37,'SCH E'!$C$15:$E$25,3,FALSE),"")</f>
        <v/>
      </c>
      <c r="E37" s="360" t="str">
        <f>IFERROR(VLOOKUP($A37,'SCH E'!$C$15:$G$25,5,FALSE),"")</f>
        <v/>
      </c>
      <c r="F37" s="26" t="e">
        <f t="shared" si="1"/>
        <v>#VALUE!</v>
      </c>
    </row>
    <row r="38" spans="1:6" x14ac:dyDescent="0.3">
      <c r="A38" s="326" t="s">
        <v>224</v>
      </c>
      <c r="B38" s="326" t="s">
        <v>278</v>
      </c>
      <c r="C38" s="328" t="s">
        <v>247</v>
      </c>
      <c r="D38" s="345" t="str">
        <f>IFERROR(VLOOKUP($A38,'SCH E'!$C$15:$E$25,3,FALSE),"")</f>
        <v/>
      </c>
      <c r="E38" s="360" t="str">
        <f>IFERROR(VLOOKUP($A38,'SCH E'!$C$15:$G$25,5,FALSE),"")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E'!$C$15:$E$25,3,FALSE),"")</f>
        <v/>
      </c>
      <c r="E39" s="360" t="str">
        <f>IFERROR(VLOOKUP($A39,'SCH E'!$C$15:$G$25,5,FALSE),"")</f>
        <v/>
      </c>
      <c r="F39" s="26" t="e">
        <f t="shared" si="2"/>
        <v>#VALUE!</v>
      </c>
    </row>
    <row r="40" spans="1:6" x14ac:dyDescent="0.3">
      <c r="A40" s="326" t="s">
        <v>226</v>
      </c>
      <c r="B40" s="326" t="s">
        <v>280</v>
      </c>
      <c r="C40" s="328" t="s">
        <v>247</v>
      </c>
      <c r="D40" s="345" t="str">
        <f>IFERROR(VLOOKUP($A40,'SCH E'!$C$15:$E$25,3,FALSE),"")</f>
        <v/>
      </c>
      <c r="E40" s="360" t="str">
        <f>IFERROR(VLOOKUP($A40,'SCH E'!$C$15:$G$25,5,FALSE),"")</f>
        <v/>
      </c>
      <c r="F40" s="26" t="e">
        <f t="shared" si="2"/>
        <v>#VALUE!</v>
      </c>
    </row>
    <row r="41" spans="1:6" x14ac:dyDescent="0.3">
      <c r="A41" s="327" t="s">
        <v>227</v>
      </c>
      <c r="B41" s="327" t="s">
        <v>281</v>
      </c>
      <c r="C41" s="329" t="s">
        <v>46</v>
      </c>
      <c r="D41" s="345" t="str">
        <f>IFERROR(VLOOKUP($A41,'SCH E'!$C$15:$E$25,3,FALSE),"")</f>
        <v/>
      </c>
      <c r="E41" s="360" t="str">
        <f>IFERROR(VLOOKUP($A41,'SCH E'!$C$15:$G$25,5,FALSE),"")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E'!$C$15:$E$25,3,FALSE),"")</f>
        <v/>
      </c>
      <c r="E42" s="360" t="str">
        <f>IFERROR(VLOOKUP($A42,'SCH E'!$C$15:$G$25,5,FALSE),"")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E'!$C$15:$E$25,3,FALSE),"")</f>
        <v/>
      </c>
      <c r="E43" s="360" t="str">
        <f>IFERROR(VLOOKUP($A43,'SCH E'!$C$15:$G$25,5,FALSE),"")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E'!$C$15:$E$25,3,FALSE),"")</f>
        <v/>
      </c>
      <c r="E44" s="360" t="str">
        <f>IFERROR(VLOOKUP($A44,'SCH E'!$C$15:$G$25,5,FALSE),"")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E'!$C$15:$E$25,3,FALSE),"")</f>
        <v/>
      </c>
      <c r="E45" s="360" t="str">
        <f>IFERROR(VLOOKUP($A45,'SCH E'!$C$15:$G$25,5,FALSE),"")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E'!$C$15:$E$25,3,FALSE),"")</f>
        <v/>
      </c>
      <c r="E46" s="360" t="str">
        <f>IFERROR(VLOOKUP($A46,'SCH E'!$C$15:$G$25,5,FALSE),"")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E'!$C$15:$E$25,3,FALSE),"")</f>
        <v/>
      </c>
      <c r="E47" s="360" t="str">
        <f>IFERROR(VLOOKUP($A47,'SCH E'!$C$15:$G$25,5,FALSE),"")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E'!$C$15:$E$25,3,FALSE),"")</f>
        <v/>
      </c>
      <c r="E48" s="360" t="str">
        <f>IFERROR(VLOOKUP($A48,'SCH E'!$C$15:$G$25,5,FALSE),"")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E'!$C$15:$E$25,3,FALSE),"")</f>
        <v/>
      </c>
      <c r="E49" s="360" t="str">
        <f>IFERROR(VLOOKUP($A49,'SCH E'!$C$15:$G$25,5,FALSE),"")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E'!$C$15:$E$25,3,FALSE),"")</f>
        <v/>
      </c>
      <c r="E50" s="360" t="str">
        <f>IFERROR(VLOOKUP($A50,'SCH E'!$C$15:$G$25,5,FALSE),"")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E'!$C$15:$E$25,3,FALSE),"")</f>
        <v/>
      </c>
      <c r="E51" s="360" t="str">
        <f>IFERROR(VLOOKUP($A51,'SCH E'!$C$15:$G$25,5,FALSE),"")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E'!$C$15:$E$25,3,FALSE),"")</f>
        <v/>
      </c>
      <c r="E52" s="360" t="str">
        <f>IFERROR(VLOOKUP($A52,'SCH E'!$C$15:$G$25,5,FALSE),"")</f>
        <v/>
      </c>
      <c r="F52" s="26" t="e">
        <f t="shared" si="3"/>
        <v>#VALUE!</v>
      </c>
    </row>
    <row r="53" spans="1:6" x14ac:dyDescent="0.3">
      <c r="A53" s="327" t="s">
        <v>239</v>
      </c>
      <c r="B53" s="327" t="s">
        <v>280</v>
      </c>
      <c r="C53" s="329" t="s">
        <v>277</v>
      </c>
      <c r="D53" s="345" t="str">
        <f>IFERROR(VLOOKUP($A53,'SCH E'!$C$15:$E$25,3,FALSE),"")</f>
        <v/>
      </c>
      <c r="E53" s="360" t="str">
        <f>IFERROR(VLOOKUP($A53,'SCH E'!$C$15:$G$25,5,FALSE),"")</f>
        <v/>
      </c>
      <c r="F53" s="26" t="e">
        <f t="shared" si="3"/>
        <v>#VALUE!</v>
      </c>
    </row>
    <row r="54" spans="1:6" x14ac:dyDescent="0.3">
      <c r="A54" s="326" t="s">
        <v>240</v>
      </c>
      <c r="B54" s="326" t="s">
        <v>291</v>
      </c>
      <c r="C54" s="328" t="s">
        <v>247</v>
      </c>
      <c r="D54" s="345" t="str">
        <f>IFERROR(VLOOKUP($A54,'SCH E'!$C$15:$E$25,3,FALSE),"")</f>
        <v/>
      </c>
      <c r="E54" s="360" t="str">
        <f>IFERROR(VLOOKUP($A54,'SCH E'!$C$15:$G$25,5,FALSE),"")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E'!$C$15:$E$25,3,FALSE),"")</f>
        <v/>
      </c>
      <c r="E55" s="360" t="str">
        <f>IFERROR(VLOOKUP($A55,'SCH E'!$C$15:$G$25,5,FALSE),"")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E'!$C$15:$E$25,3,FALSE),"")</f>
        <v/>
      </c>
      <c r="E56" s="360" t="str">
        <f>IFERROR(VLOOKUP($A56,'SCH E'!$C$15:$G$25,5,FALSE),"")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E'!$C$15:$E$25,3,FALSE),"")</f>
        <v/>
      </c>
      <c r="E57" s="360" t="str">
        <f>IFERROR(VLOOKUP($A57,'SCH E'!$C$15:$G$25,5,FALSE),"")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E'!$C$15:$E$25,3,FALSE),"")</f>
        <v/>
      </c>
      <c r="E58" s="360" t="str">
        <f>IFERROR(VLOOKUP($A58,'SCH E'!$C$15:$G$25,5,FALSE),"")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E'!$C$15:$E$25,3,FALSE),"")</f>
        <v/>
      </c>
      <c r="E59" s="360" t="str">
        <f>IFERROR(VLOOKUP($A59,'SCH E'!$C$15:$G$25,5,FALSE),"")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E'!$C$15:$E$25,3,FALSE),"")</f>
        <v/>
      </c>
      <c r="E60" s="360" t="str">
        <f>IFERROR(VLOOKUP($A60,'SCH E'!$C$15:$G$25,5,FALSE),"")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E'!$C$15:$E$25,3,FALSE),"")</f>
        <v/>
      </c>
      <c r="E61" s="360" t="str">
        <f>IFERROR(VLOOKUP($A61,'SCH E'!$C$15:$G$25,5,FALSE),"")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E'!$C$15:$E$25,3,FALSE),"")</f>
        <v/>
      </c>
      <c r="E62" s="360" t="str">
        <f>IFERROR(VLOOKUP($A62,'SCH E'!$C$15:$G$25,5,FALSE),"")</f>
        <v/>
      </c>
      <c r="F62" s="26" t="e">
        <f t="shared" si="5"/>
        <v>#VALUE!</v>
      </c>
    </row>
    <row r="63" spans="1:6" x14ac:dyDescent="0.3">
      <c r="A63" s="327" t="s">
        <v>320</v>
      </c>
      <c r="B63" s="329" t="s">
        <v>335</v>
      </c>
      <c r="C63" s="329" t="s">
        <v>247</v>
      </c>
      <c r="D63" s="345" t="str">
        <f>IFERROR(VLOOKUP($A63,'SCH E'!$C$15:$E$25,3,FALSE),"")</f>
        <v/>
      </c>
      <c r="E63" s="360" t="str">
        <f>IFERROR(VLOOKUP($A63,'SCH E'!$C$15:$G$25,5,FALSE),"")</f>
        <v/>
      </c>
      <c r="F63" s="26" t="e">
        <f t="shared" si="5"/>
        <v>#VALUE!</v>
      </c>
    </row>
    <row r="64" spans="1:6" x14ac:dyDescent="0.3">
      <c r="A64" s="326" t="s">
        <v>321</v>
      </c>
      <c r="B64" s="328" t="s">
        <v>336</v>
      </c>
      <c r="C64" s="328" t="s">
        <v>247</v>
      </c>
      <c r="D64" s="345" t="str">
        <f>IFERROR(VLOOKUP($A64,'SCH E'!$C$15:$E$25,3,FALSE),"")</f>
        <v/>
      </c>
      <c r="E64" s="360" t="str">
        <f>IFERROR(VLOOKUP($A64,'SCH E'!$C$15:$G$25,5,FALSE),"")</f>
        <v/>
      </c>
      <c r="F64" s="26" t="e">
        <f t="shared" si="5"/>
        <v>#VALUE!</v>
      </c>
    </row>
    <row r="65" spans="1:6" x14ac:dyDescent="0.3">
      <c r="A65" s="327" t="s">
        <v>322</v>
      </c>
      <c r="B65" s="329" t="s">
        <v>337</v>
      </c>
      <c r="C65" s="329" t="s">
        <v>247</v>
      </c>
      <c r="D65" s="345" t="str">
        <f>IFERROR(VLOOKUP($A65,'SCH E'!$C$15:$E$25,3,FALSE),"")</f>
        <v/>
      </c>
      <c r="E65" s="360" t="str">
        <f>IFERROR(VLOOKUP($A65,'SCH E'!$C$15:$G$25,5,FALSE),"")</f>
        <v/>
      </c>
      <c r="F65" s="26" t="e">
        <f t="shared" si="5"/>
        <v>#VALUE!</v>
      </c>
    </row>
    <row r="66" spans="1:6" x14ac:dyDescent="0.3">
      <c r="A66" s="326" t="s">
        <v>323</v>
      </c>
      <c r="B66" s="328" t="s">
        <v>333</v>
      </c>
      <c r="C66" s="328" t="s">
        <v>46</v>
      </c>
      <c r="D66" s="345" t="str">
        <f>IFERROR(VLOOKUP($A66,'SCH E'!$C$15:$E$25,3,FALSE),"")</f>
        <v/>
      </c>
      <c r="E66" s="360" t="str">
        <f>IFERROR(VLOOKUP($A66,'SCH E'!$C$15:$G$25,5,FALSE),"")</f>
        <v/>
      </c>
      <c r="F66" s="345"/>
    </row>
    <row r="67" spans="1:6" x14ac:dyDescent="0.3">
      <c r="A67" s="327" t="s">
        <v>324</v>
      </c>
      <c r="B67" s="329" t="s">
        <v>334</v>
      </c>
      <c r="C67" s="329" t="s">
        <v>46</v>
      </c>
      <c r="D67" s="345" t="str">
        <f>IFERROR(VLOOKUP($A67,'SCH E'!$C$15:$E$25,3,FALSE),"")</f>
        <v/>
      </c>
      <c r="E67" s="360" t="str">
        <f>IFERROR(VLOOKUP($A67,'SCH E'!$C$15:$G$25,5,FALSE),"")</f>
        <v/>
      </c>
      <c r="F67" s="345"/>
    </row>
    <row r="68" spans="1:6" x14ac:dyDescent="0.3">
      <c r="A68" s="326" t="s">
        <v>325</v>
      </c>
      <c r="B68" s="328" t="s">
        <v>335</v>
      </c>
      <c r="C68" s="328" t="s">
        <v>46</v>
      </c>
      <c r="D68" s="345" t="str">
        <f>IFERROR(VLOOKUP($A68,'SCH E'!$C$15:$E$25,3,FALSE),"")</f>
        <v/>
      </c>
      <c r="E68" s="360" t="str">
        <f>IFERROR(VLOOKUP($A68,'SCH E'!$C$15:$G$25,5,FALSE),"")</f>
        <v/>
      </c>
      <c r="F68" s="345"/>
    </row>
    <row r="69" spans="1:6" x14ac:dyDescent="0.3">
      <c r="A69" s="327" t="s">
        <v>326</v>
      </c>
      <c r="B69" s="329" t="s">
        <v>336</v>
      </c>
      <c r="C69" s="329" t="s">
        <v>46</v>
      </c>
      <c r="D69" s="345" t="str">
        <f>IFERROR(VLOOKUP($A69,'SCH E'!$C$15:$E$25,3,FALSE),"")</f>
        <v/>
      </c>
      <c r="E69" s="360" t="str">
        <f>IFERROR(VLOOKUP($A69,'SCH E'!$C$15:$G$25,5,FALSE),"")</f>
        <v/>
      </c>
      <c r="F69" s="345"/>
    </row>
    <row r="70" spans="1:6" x14ac:dyDescent="0.3">
      <c r="A70" s="326" t="s">
        <v>327</v>
      </c>
      <c r="B70" s="328" t="s">
        <v>337</v>
      </c>
      <c r="C70" s="328" t="s">
        <v>46</v>
      </c>
      <c r="D70" s="345" t="str">
        <f>IFERROR(VLOOKUP($A70,'SCH E'!$C$15:$E$25,3,FALSE),"")</f>
        <v/>
      </c>
      <c r="E70" s="360" t="str">
        <f>IFERROR(VLOOKUP($A70,'SCH E'!$C$15:$G$25,5,FALSE),"")</f>
        <v/>
      </c>
      <c r="F70" s="345"/>
    </row>
    <row r="71" spans="1:6" x14ac:dyDescent="0.3">
      <c r="A71" s="327" t="s">
        <v>328</v>
      </c>
      <c r="B71" s="329" t="s">
        <v>333</v>
      </c>
      <c r="C71" s="329" t="s">
        <v>277</v>
      </c>
      <c r="D71" s="345" t="str">
        <f>IFERROR(VLOOKUP($A71,'SCH E'!$C$15:$E$25,3,FALSE),"")</f>
        <v/>
      </c>
      <c r="E71" s="360" t="str">
        <f>IFERROR(VLOOKUP($A71,'SCH E'!$C$15:$G$25,5,FALSE),"")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E'!$C$15:$E$25,3,FALSE),"")</f>
        <v/>
      </c>
      <c r="E72" s="360" t="str">
        <f>IFERROR(VLOOKUP($A72,'SCH E'!$C$15:$G$25,5,FALSE),"")</f>
        <v/>
      </c>
      <c r="F72" s="26" t="e">
        <f t="shared" si="6"/>
        <v>#VALUE!</v>
      </c>
    </row>
    <row r="73" spans="1:6" x14ac:dyDescent="0.3">
      <c r="A73" s="327" t="s">
        <v>330</v>
      </c>
      <c r="B73" s="329" t="s">
        <v>335</v>
      </c>
      <c r="C73" s="329" t="s">
        <v>277</v>
      </c>
      <c r="D73" s="345" t="str">
        <f>IFERROR(VLOOKUP($A73,'SCH E'!$C$15:$E$25,3,FALSE),"")</f>
        <v/>
      </c>
      <c r="E73" s="360" t="str">
        <f>IFERROR(VLOOKUP($A73,'SCH E'!$C$15:$G$25,5,FALSE),"")</f>
        <v/>
      </c>
      <c r="F73" s="26" t="e">
        <f t="shared" si="6"/>
        <v>#VALUE!</v>
      </c>
    </row>
    <row r="74" spans="1:6" x14ac:dyDescent="0.3">
      <c r="A74" s="326" t="s">
        <v>331</v>
      </c>
      <c r="B74" s="328" t="s">
        <v>336</v>
      </c>
      <c r="C74" s="328" t="s">
        <v>277</v>
      </c>
      <c r="D74" s="345" t="str">
        <f>IFERROR(VLOOKUP($A74,'SCH E'!$C$15:$E$25,3,FALSE),"")</f>
        <v/>
      </c>
      <c r="E74" s="360" t="str">
        <f>IFERROR(VLOOKUP($A74,'SCH E'!$C$15:$G$25,5,FALSE),"")</f>
        <v/>
      </c>
      <c r="F74" s="26" t="e">
        <f t="shared" si="6"/>
        <v>#VALUE!</v>
      </c>
    </row>
    <row r="75" spans="1:6" x14ac:dyDescent="0.3">
      <c r="A75" s="327" t="s">
        <v>332</v>
      </c>
      <c r="B75" s="329" t="s">
        <v>337</v>
      </c>
      <c r="C75" s="329" t="s">
        <v>277</v>
      </c>
      <c r="D75" s="345" t="str">
        <f>IFERROR(VLOOKUP($A75,'SCH E'!$C$15:$E$25,3,FALSE),"")</f>
        <v/>
      </c>
      <c r="E75" s="360" t="str">
        <f>IFERROR(VLOOKUP($A75,'SCH E'!$C$15:$G$25,5,FALSE),"")</f>
        <v/>
      </c>
      <c r="F75" s="26" t="e">
        <f t="shared" si="6"/>
        <v>#VALUE!</v>
      </c>
    </row>
    <row r="76" spans="1:6" x14ac:dyDescent="0.3">
      <c r="A76" s="326" t="s">
        <v>338</v>
      </c>
      <c r="B76" s="326" t="s">
        <v>350</v>
      </c>
      <c r="C76" s="326" t="s">
        <v>351</v>
      </c>
      <c r="D76" s="345" t="str">
        <f>IFERROR(VLOOKUP($A76,'SCH E'!$C$15:$E$25,3,FALSE),"")</f>
        <v/>
      </c>
      <c r="E76" s="360" t="str">
        <f>IFERROR(VLOOKUP($A76,'SCH E'!$C$15:$G$25,5,FALSE),"")</f>
        <v/>
      </c>
      <c r="F76" s="345"/>
    </row>
    <row r="77" spans="1:6" x14ac:dyDescent="0.3">
      <c r="A77" s="327" t="s">
        <v>339</v>
      </c>
      <c r="B77" s="327" t="s">
        <v>352</v>
      </c>
      <c r="C77" s="327" t="s">
        <v>351</v>
      </c>
      <c r="D77" s="345" t="str">
        <f>IFERROR(VLOOKUP($A77,'SCH E'!$C$15:$E$25,3,FALSE),"")</f>
        <v/>
      </c>
      <c r="E77" s="360" t="str">
        <f>IFERROR(VLOOKUP($A77,'SCH E'!$C$15:$G$25,5,FALSE),"")</f>
        <v/>
      </c>
      <c r="F77" s="345"/>
    </row>
    <row r="78" spans="1:6" x14ac:dyDescent="0.3">
      <c r="A78" s="326" t="s">
        <v>340</v>
      </c>
      <c r="B78" s="326" t="s">
        <v>353</v>
      </c>
      <c r="C78" s="326" t="s">
        <v>351</v>
      </c>
      <c r="D78" s="345" t="str">
        <f>IFERROR(VLOOKUP($A78,'SCH E'!$C$15:$E$25,3,FALSE),"")</f>
        <v/>
      </c>
      <c r="E78" s="360" t="str">
        <f>IFERROR(VLOOKUP($A78,'SCH E'!$C$15:$G$25,5,FALSE),"")</f>
        <v/>
      </c>
      <c r="F78" s="345"/>
    </row>
    <row r="79" spans="1:6" x14ac:dyDescent="0.3">
      <c r="A79" s="327" t="s">
        <v>341</v>
      </c>
      <c r="B79" s="327" t="s">
        <v>354</v>
      </c>
      <c r="C79" s="327" t="s">
        <v>351</v>
      </c>
      <c r="D79" s="345" t="str">
        <f>IFERROR(VLOOKUP($A79,'SCH E'!$C$15:$E$25,3,FALSE),"")</f>
        <v/>
      </c>
      <c r="E79" s="360" t="str">
        <f>IFERROR(VLOOKUP($A79,'SCH E'!$C$15:$G$25,5,FALSE),"")</f>
        <v/>
      </c>
      <c r="F79" s="345"/>
    </row>
    <row r="80" spans="1:6" x14ac:dyDescent="0.3">
      <c r="A80" s="326" t="s">
        <v>342</v>
      </c>
      <c r="B80" s="326" t="s">
        <v>350</v>
      </c>
      <c r="C80" s="326" t="s">
        <v>46</v>
      </c>
      <c r="D80" s="345" t="str">
        <f>IFERROR(VLOOKUP($A80,'SCH E'!$C$15:$E$25,3,FALSE),"")</f>
        <v/>
      </c>
      <c r="E80" s="360" t="str">
        <f>IFERROR(VLOOKUP($A80,'SCH E'!$C$15:$G$25,5,FALSE),"")</f>
        <v/>
      </c>
      <c r="F80" s="345"/>
    </row>
    <row r="81" spans="1:6" x14ac:dyDescent="0.3">
      <c r="A81" s="327" t="s">
        <v>343</v>
      </c>
      <c r="B81" s="334" t="s">
        <v>352</v>
      </c>
      <c r="C81" s="327" t="s">
        <v>46</v>
      </c>
      <c r="D81" s="345" t="str">
        <f>IFERROR(VLOOKUP($A81,'SCH E'!$C$15:$E$25,3,FALSE),"")</f>
        <v/>
      </c>
      <c r="E81" s="360" t="str">
        <f>IFERROR(VLOOKUP($A81,'SCH E'!$C$15:$G$25,5,FALSE),"")</f>
        <v/>
      </c>
      <c r="F81" s="345"/>
    </row>
    <row r="82" spans="1:6" ht="27.6" x14ac:dyDescent="0.3">
      <c r="A82" s="326" t="s">
        <v>344</v>
      </c>
      <c r="B82" s="335" t="s">
        <v>353</v>
      </c>
      <c r="C82" s="326" t="s">
        <v>46</v>
      </c>
      <c r="D82" s="345" t="str">
        <f>IFERROR(VLOOKUP($A82,'SCH E'!$C$15:$E$25,3,FALSE),"")</f>
        <v/>
      </c>
      <c r="E82" s="360" t="str">
        <f>IFERROR(VLOOKUP($A82,'SCH E'!$C$15:$G$25,5,FALSE),"")</f>
        <v/>
      </c>
      <c r="F82" s="345"/>
    </row>
    <row r="83" spans="1:6" ht="27.6" x14ac:dyDescent="0.3">
      <c r="A83" s="327" t="s">
        <v>345</v>
      </c>
      <c r="B83" s="334" t="s">
        <v>354</v>
      </c>
      <c r="C83" s="327" t="s">
        <v>46</v>
      </c>
      <c r="D83" s="345" t="str">
        <f>IFERROR(VLOOKUP($A83,'SCH E'!$C$15:$E$25,3,FALSE),"")</f>
        <v/>
      </c>
      <c r="E83" s="360" t="str">
        <f>IFERROR(VLOOKUP($A83,'SCH E'!$C$15:$G$25,5,FALSE),"")</f>
        <v/>
      </c>
      <c r="F83" s="345"/>
    </row>
    <row r="84" spans="1:6" x14ac:dyDescent="0.3">
      <c r="A84" s="326" t="s">
        <v>346</v>
      </c>
      <c r="B84" s="326" t="s">
        <v>350</v>
      </c>
      <c r="C84" s="326" t="s">
        <v>247</v>
      </c>
      <c r="D84" s="345" t="str">
        <f>IFERROR(VLOOKUP($A84,'SCH E'!$C$15:$E$25,3,FALSE),"")</f>
        <v/>
      </c>
      <c r="E84" s="360" t="str">
        <f>IFERROR(VLOOKUP($A84,'SCH E'!$C$15:$G$25,5,FALSE),"")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E'!$C$15:$E$25,3,FALSE),"")</f>
        <v/>
      </c>
      <c r="E85" s="360" t="str">
        <f>IFERROR(VLOOKUP($A85,'SCH E'!$C$15:$G$25,5,FALSE),"")</f>
        <v/>
      </c>
      <c r="F85" s="26" t="e">
        <f t="shared" si="7"/>
        <v>#VALUE!</v>
      </c>
    </row>
    <row r="86" spans="1:6" x14ac:dyDescent="0.3">
      <c r="A86" s="326" t="s">
        <v>348</v>
      </c>
      <c r="B86" s="326" t="s">
        <v>353</v>
      </c>
      <c r="C86" s="326" t="s">
        <v>247</v>
      </c>
      <c r="D86" s="345" t="str">
        <f>IFERROR(VLOOKUP($A86,'SCH E'!$C$15:$E$25,3,FALSE),"")</f>
        <v/>
      </c>
      <c r="E86" s="360" t="str">
        <f>IFERROR(VLOOKUP($A86,'SCH E'!$C$15:$G$25,5,FALSE),"")</f>
        <v/>
      </c>
      <c r="F86" s="26" t="e">
        <f t="shared" si="7"/>
        <v>#VALUE!</v>
      </c>
    </row>
    <row r="87" spans="1:6" x14ac:dyDescent="0.3">
      <c r="A87" s="327" t="s">
        <v>349</v>
      </c>
      <c r="B87" s="327" t="s">
        <v>354</v>
      </c>
      <c r="C87" s="327" t="s">
        <v>247</v>
      </c>
      <c r="D87" s="345" t="str">
        <f>IFERROR(VLOOKUP($A87,'SCH E'!$C$15:$E$25,3,FALSE),"")</f>
        <v/>
      </c>
      <c r="E87" s="360" t="str">
        <f>IFERROR(VLOOKUP($A87,'SCH E'!$C$15:$G$25,5,FALSE),"")</f>
        <v/>
      </c>
      <c r="F87" s="26" t="e">
        <f t="shared" si="7"/>
        <v>#VALUE!</v>
      </c>
    </row>
    <row r="88" spans="1:6" x14ac:dyDescent="0.3">
      <c r="A88" s="326" t="s">
        <v>355</v>
      </c>
      <c r="B88" s="326" t="s">
        <v>356</v>
      </c>
      <c r="C88" s="328" t="s">
        <v>247</v>
      </c>
      <c r="D88" s="345" t="str">
        <f>IFERROR(VLOOKUP($A88,'SCH E'!$C$15:$E$25,3,FALSE),"")</f>
        <v/>
      </c>
      <c r="E88" s="360" t="str">
        <f>IFERROR(VLOOKUP($A88,'SCH E'!$C$15:$G$25,5,FALSE),"")</f>
        <v/>
      </c>
      <c r="F88" s="345"/>
    </row>
    <row r="89" spans="1:6" x14ac:dyDescent="0.3">
      <c r="A89" s="327" t="s">
        <v>357</v>
      </c>
      <c r="B89" s="327" t="s">
        <v>304</v>
      </c>
      <c r="C89" s="327" t="s">
        <v>247</v>
      </c>
      <c r="D89" s="345" t="str">
        <f>IFERROR(VLOOKUP($A89,'SCH E'!$C$15:$E$25,3,FALSE),"")</f>
        <v/>
      </c>
      <c r="E89" s="360" t="str">
        <f>IFERROR(VLOOKUP($A89,'SCH E'!$C$15:$G$25,5,FALSE),"")</f>
        <v/>
      </c>
      <c r="F89" s="26" t="e">
        <f>IF((D89&gt;=1575),ROUND(E89*0.01,2),"-")</f>
        <v>#VALUE!</v>
      </c>
    </row>
    <row r="90" spans="1:6" x14ac:dyDescent="0.3">
      <c r="A90" s="326" t="s">
        <v>358</v>
      </c>
      <c r="B90" s="326" t="s">
        <v>305</v>
      </c>
      <c r="C90" s="326" t="s">
        <v>247</v>
      </c>
      <c r="D90" s="345" t="str">
        <f>IFERROR(VLOOKUP($A90,'SCH E'!$C$15:$E$25,3,FALSE),"")</f>
        <v/>
      </c>
      <c r="E90" s="360" t="str">
        <f>IFERROR(VLOOKUP($A90,'SCH E'!$C$15:$G$25,5,FALSE),"")</f>
        <v/>
      </c>
      <c r="F90" s="26" t="e">
        <f>IF((D90&gt;=1050),ROUND(E90*0.01,2),"-")</f>
        <v>#VALUE!</v>
      </c>
    </row>
    <row r="91" spans="1:6" x14ac:dyDescent="0.3">
      <c r="A91" s="327" t="s">
        <v>359</v>
      </c>
      <c r="B91" s="327" t="s">
        <v>306</v>
      </c>
      <c r="C91" s="327" t="s">
        <v>247</v>
      </c>
      <c r="D91" s="345" t="str">
        <f>IFERROR(VLOOKUP($A91,'SCH E'!$C$15:$E$25,3,FALSE),"")</f>
        <v/>
      </c>
      <c r="E91" s="360" t="str">
        <f>IFERROR(VLOOKUP($A91,'SCH E'!$C$15:$G$25,5,FALSE),"")</f>
        <v/>
      </c>
      <c r="F91" s="26" t="e">
        <f>IF((D91&gt;=787.5),ROUND(E91*0.01,2),"-")</f>
        <v>#VALUE!</v>
      </c>
    </row>
    <row r="92" spans="1:6" x14ac:dyDescent="0.3">
      <c r="A92" s="326" t="s">
        <v>360</v>
      </c>
      <c r="B92" s="326" t="s">
        <v>307</v>
      </c>
      <c r="C92" s="326" t="s">
        <v>247</v>
      </c>
      <c r="D92" s="345" t="str">
        <f>IFERROR(VLOOKUP($A92,'SCH E'!$C$15:$E$25,3,FALSE),"")</f>
        <v/>
      </c>
      <c r="E92" s="360" t="str">
        <f>IFERROR(VLOOKUP($A92,'SCH E'!$C$15:$G$25,5,FALSE),"")</f>
        <v/>
      </c>
      <c r="F92" s="26" t="e">
        <f>IF((D92&gt;=393.75),ROUND(E92*0.01,2),"-")</f>
        <v>#VALUE!</v>
      </c>
    </row>
    <row r="93" spans="1:6" x14ac:dyDescent="0.3">
      <c r="A93" s="327" t="s">
        <v>361</v>
      </c>
      <c r="B93" s="327" t="s">
        <v>367</v>
      </c>
      <c r="C93" s="327" t="s">
        <v>247</v>
      </c>
      <c r="D93" s="345" t="str">
        <f>IFERROR(VLOOKUP($A93,'SCH E'!$C$15:$E$25,3,FALSE),"")</f>
        <v/>
      </c>
      <c r="E93" s="360" t="str">
        <f>IFERROR(VLOOKUP($A93,'SCH E'!$C$15:$G$25,5,FALSE),"")</f>
        <v/>
      </c>
      <c r="F93" s="26" t="e">
        <f>IF((D93&gt;=(1575*2)),ROUND(E93*0.01,2),"-")</f>
        <v>#VALUE!</v>
      </c>
    </row>
    <row r="94" spans="1:6" x14ac:dyDescent="0.3">
      <c r="A94" s="326" t="s">
        <v>362</v>
      </c>
      <c r="B94" s="326" t="s">
        <v>368</v>
      </c>
      <c r="C94" s="326" t="s">
        <v>247</v>
      </c>
      <c r="D94" s="345" t="str">
        <f>IFERROR(VLOOKUP($A94,'SCH E'!$C$15:$E$25,3,FALSE),"")</f>
        <v/>
      </c>
      <c r="E94" s="360" t="str">
        <f>IFERROR(VLOOKUP($A94,'SCH E'!$C$15:$G$25,5,FALSE),"")</f>
        <v/>
      </c>
      <c r="F94" s="26" t="e">
        <f>IF((D94&gt;=(787.5*2)),ROUND(E94*0.01,2),"-")</f>
        <v>#VALUE!</v>
      </c>
    </row>
    <row r="95" spans="1:6" x14ac:dyDescent="0.3">
      <c r="A95" s="327" t="s">
        <v>363</v>
      </c>
      <c r="B95" s="327" t="s">
        <v>369</v>
      </c>
      <c r="C95" s="327" t="s">
        <v>247</v>
      </c>
      <c r="D95" s="345" t="str">
        <f>IFERROR(VLOOKUP($A95,'SCH E'!$C$15:$E$25,3,FALSE),"")</f>
        <v/>
      </c>
      <c r="E95" s="360" t="str">
        <f>IFERROR(VLOOKUP($A95,'SCH E'!$C$15:$G$25,5,FALSE),"")</f>
        <v/>
      </c>
      <c r="F95" s="26" t="e">
        <f>IF((D95&gt;=(1050*2)),ROUND(E95*0.01,2),"-")</f>
        <v>#VALUE!</v>
      </c>
    </row>
    <row r="96" spans="1:6" x14ac:dyDescent="0.3">
      <c r="A96" s="326" t="s">
        <v>364</v>
      </c>
      <c r="B96" s="326" t="s">
        <v>370</v>
      </c>
      <c r="C96" s="326" t="s">
        <v>247</v>
      </c>
      <c r="D96" s="345" t="str">
        <f>IFERROR(VLOOKUP($A96,'SCH E'!$C$15:$E$25,3,FALSE),"")</f>
        <v/>
      </c>
      <c r="E96" s="360" t="str">
        <f>IFERROR(VLOOKUP($A96,'SCH E'!$C$15:$G$25,5,FALSE),"")</f>
        <v/>
      </c>
      <c r="F96" s="26" t="e">
        <f>IF((D96&gt;=(787.5*2)),ROUND(E96*0.01,2),"-")</f>
        <v>#VALUE!</v>
      </c>
    </row>
    <row r="97" spans="1:6" x14ac:dyDescent="0.3">
      <c r="A97" s="327" t="s">
        <v>365</v>
      </c>
      <c r="B97" s="327" t="s">
        <v>371</v>
      </c>
      <c r="C97" s="327" t="s">
        <v>247</v>
      </c>
      <c r="D97" s="345" t="str">
        <f>IFERROR(VLOOKUP($A97,'SCH E'!$C$15:$E$25,3,FALSE),"")</f>
        <v/>
      </c>
      <c r="E97" s="360" t="str">
        <f>IFERROR(VLOOKUP($A97,'SCH E'!$C$15:$G$25,5,FALSE),"")</f>
        <v/>
      </c>
      <c r="F97" s="26" t="e">
        <f>IF((D97&gt;=(787.5*2)),ROUND(E97*0.01,2),"-")</f>
        <v>#VALUE!</v>
      </c>
    </row>
    <row r="98" spans="1:6" x14ac:dyDescent="0.3">
      <c r="A98" s="326" t="s">
        <v>366</v>
      </c>
      <c r="B98" s="326" t="s">
        <v>372</v>
      </c>
      <c r="C98" s="326" t="s">
        <v>247</v>
      </c>
      <c r="D98" s="345" t="str">
        <f>IFERROR(VLOOKUP($A98,'SCH E'!$C$15:$E$25,3,FALSE),"")</f>
        <v/>
      </c>
      <c r="E98" s="360" t="str">
        <f>IFERROR(VLOOKUP($A98,'SCH E'!$C$15:$G$25,5,FALSE),"")</f>
        <v/>
      </c>
      <c r="F98" s="26" t="e">
        <f>IF((D98&gt;=(393.75*2)),ROUND(E98*0.01,2),"-")</f>
        <v>#VALUE!</v>
      </c>
    </row>
    <row r="99" spans="1:6" x14ac:dyDescent="0.3">
      <c r="A99" s="327" t="s">
        <v>297</v>
      </c>
      <c r="B99" s="327" t="s">
        <v>304</v>
      </c>
      <c r="C99" s="327" t="s">
        <v>46</v>
      </c>
      <c r="D99" s="345" t="str">
        <f>IFERROR(VLOOKUP($A99,'SCH E'!$C$15:$E$25,3,FALSE),"")</f>
        <v/>
      </c>
      <c r="E99" s="360" t="str">
        <f>IFERROR(VLOOKUP($A99,'SCH E'!$C$15:$G$25,5,FALSE),"")</f>
        <v/>
      </c>
      <c r="F99" s="26" t="e">
        <f>IF((D99&gt;=40000),ROUND(E99*0.05,2),"-")</f>
        <v>#VALUE!</v>
      </c>
    </row>
    <row r="100" spans="1:6" x14ac:dyDescent="0.3">
      <c r="A100" s="326" t="s">
        <v>298</v>
      </c>
      <c r="B100" s="326" t="s">
        <v>305</v>
      </c>
      <c r="C100" s="326" t="s">
        <v>46</v>
      </c>
      <c r="D100" s="345" t="str">
        <f>IFERROR(VLOOKUP($A100,'SCH E'!$C$15:$E$25,3,FALSE),"")</f>
        <v/>
      </c>
      <c r="E100" s="360" t="str">
        <f>IFERROR(VLOOKUP($A100,'SCH E'!$C$15:$G$25,5,FALSE),"")</f>
        <v/>
      </c>
      <c r="F100" s="26" t="e">
        <f t="shared" ref="F100:F105" si="8">IF((D100&gt;=40000),ROUND(E100*0.05,2),"-")</f>
        <v>#VALUE!</v>
      </c>
    </row>
    <row r="101" spans="1:6" x14ac:dyDescent="0.3">
      <c r="A101" s="327" t="s">
        <v>299</v>
      </c>
      <c r="B101" s="327" t="s">
        <v>306</v>
      </c>
      <c r="C101" s="327" t="s">
        <v>46</v>
      </c>
      <c r="D101" s="345" t="str">
        <f>IFERROR(VLOOKUP($A101,'SCH E'!$C$15:$E$25,3,FALSE),"")</f>
        <v/>
      </c>
      <c r="E101" s="360" t="str">
        <f>IFERROR(VLOOKUP($A101,'SCH E'!$C$15:$G$25,5,FALSE),"")</f>
        <v/>
      </c>
      <c r="F101" s="26" t="e">
        <f t="shared" si="8"/>
        <v>#VALUE!</v>
      </c>
    </row>
    <row r="102" spans="1:6" x14ac:dyDescent="0.3">
      <c r="A102" s="326" t="s">
        <v>300</v>
      </c>
      <c r="B102" s="326" t="s">
        <v>307</v>
      </c>
      <c r="C102" s="326" t="s">
        <v>46</v>
      </c>
      <c r="D102" s="345" t="str">
        <f>IFERROR(VLOOKUP($A102,'SCH E'!$C$15:$E$25,3,FALSE),"")</f>
        <v/>
      </c>
      <c r="E102" s="360" t="str">
        <f>IFERROR(VLOOKUP($A102,'SCH E'!$C$15:$G$25,5,FALSE),"")</f>
        <v/>
      </c>
      <c r="F102" s="26" t="e">
        <f t="shared" si="8"/>
        <v>#VALUE!</v>
      </c>
    </row>
    <row r="103" spans="1:6" x14ac:dyDescent="0.3">
      <c r="A103" s="327" t="s">
        <v>301</v>
      </c>
      <c r="B103" s="327" t="s">
        <v>308</v>
      </c>
      <c r="C103" s="327" t="s">
        <v>46</v>
      </c>
      <c r="D103" s="345" t="str">
        <f>IFERROR(VLOOKUP($A103,'SCH E'!$C$15:$E$25,3,FALSE),"")</f>
        <v/>
      </c>
      <c r="E103" s="360" t="str">
        <f>IFERROR(VLOOKUP($A103,'SCH E'!$C$15:$G$25,5,FALSE),"")</f>
        <v/>
      </c>
      <c r="F103" s="26" t="e">
        <f t="shared" si="8"/>
        <v>#VALUE!</v>
      </c>
    </row>
    <row r="104" spans="1:6" x14ac:dyDescent="0.3">
      <c r="A104" s="326" t="s">
        <v>302</v>
      </c>
      <c r="B104" s="326" t="s">
        <v>309</v>
      </c>
      <c r="C104" s="326" t="s">
        <v>46</v>
      </c>
      <c r="D104" s="345" t="str">
        <f>IFERROR(VLOOKUP($A104,'SCH E'!$C$15:$E$25,3,FALSE),"")</f>
        <v/>
      </c>
      <c r="E104" s="360" t="str">
        <f>IFERROR(VLOOKUP($A104,'SCH E'!$C$15:$G$25,5,FALSE),"")</f>
        <v/>
      </c>
      <c r="F104" s="26" t="e">
        <f t="shared" si="8"/>
        <v>#VALUE!</v>
      </c>
    </row>
    <row r="105" spans="1:6" x14ac:dyDescent="0.3">
      <c r="A105" s="327" t="s">
        <v>303</v>
      </c>
      <c r="B105" s="327" t="s">
        <v>310</v>
      </c>
      <c r="C105" s="327" t="s">
        <v>46</v>
      </c>
      <c r="D105" s="345" t="str">
        <f>IFERROR(VLOOKUP($A105,'SCH E'!$C$15:$E$25,3,FALSE),"")</f>
        <v/>
      </c>
      <c r="E105" s="360" t="str">
        <f>IFERROR(VLOOKUP($A105,'SCH E'!$C$15:$G$25,5,FALSE),"")</f>
        <v/>
      </c>
      <c r="F105" s="26" t="e">
        <f t="shared" si="8"/>
        <v>#VALUE!</v>
      </c>
    </row>
    <row r="106" spans="1:6" hidden="1" x14ac:dyDescent="0.3">
      <c r="A106" s="337" t="s">
        <v>373</v>
      </c>
      <c r="B106" s="338" t="s">
        <v>394</v>
      </c>
      <c r="C106" s="339" t="s">
        <v>247</v>
      </c>
    </row>
    <row r="107" spans="1:6" hidden="1" x14ac:dyDescent="0.3">
      <c r="A107" s="327" t="s">
        <v>374</v>
      </c>
      <c r="B107" s="327" t="s">
        <v>395</v>
      </c>
      <c r="C107" s="329" t="s">
        <v>247</v>
      </c>
    </row>
    <row r="108" spans="1:6" hidden="1" x14ac:dyDescent="0.3">
      <c r="A108" s="326" t="s">
        <v>375</v>
      </c>
      <c r="B108" s="326" t="s">
        <v>396</v>
      </c>
      <c r="C108" s="328" t="s">
        <v>247</v>
      </c>
    </row>
    <row r="109" spans="1:6" hidden="1" x14ac:dyDescent="0.3">
      <c r="A109" s="327" t="s">
        <v>376</v>
      </c>
      <c r="B109" s="327" t="s">
        <v>397</v>
      </c>
      <c r="C109" s="329" t="s">
        <v>247</v>
      </c>
    </row>
    <row r="110" spans="1:6" hidden="1" x14ac:dyDescent="0.3">
      <c r="A110" s="326" t="s">
        <v>377</v>
      </c>
      <c r="B110" s="326" t="s">
        <v>398</v>
      </c>
      <c r="C110" s="328" t="s">
        <v>247</v>
      </c>
    </row>
    <row r="111" spans="1:6" hidden="1" x14ac:dyDescent="0.3">
      <c r="A111" s="327" t="s">
        <v>378</v>
      </c>
      <c r="B111" s="327" t="s">
        <v>399</v>
      </c>
      <c r="C111" s="329" t="s">
        <v>247</v>
      </c>
    </row>
    <row r="112" spans="1:6" hidden="1" x14ac:dyDescent="0.3">
      <c r="A112" s="326" t="s">
        <v>379</v>
      </c>
      <c r="B112" s="326" t="s">
        <v>400</v>
      </c>
      <c r="C112" s="328" t="s">
        <v>247</v>
      </c>
    </row>
    <row r="113" spans="1:3" hidden="1" x14ac:dyDescent="0.3">
      <c r="A113" s="327" t="s">
        <v>380</v>
      </c>
      <c r="B113" s="327" t="s">
        <v>401</v>
      </c>
      <c r="C113" s="329" t="s">
        <v>247</v>
      </c>
    </row>
    <row r="114" spans="1:3" hidden="1" x14ac:dyDescent="0.3">
      <c r="A114" s="326" t="s">
        <v>381</v>
      </c>
      <c r="B114" s="326" t="s">
        <v>402</v>
      </c>
      <c r="C114" s="328" t="s">
        <v>247</v>
      </c>
    </row>
    <row r="115" spans="1:3" hidden="1" x14ac:dyDescent="0.3">
      <c r="A115" s="327" t="s">
        <v>382</v>
      </c>
      <c r="B115" s="327" t="s">
        <v>403</v>
      </c>
      <c r="C115" s="329" t="s">
        <v>247</v>
      </c>
    </row>
    <row r="116" spans="1:3" hidden="1" x14ac:dyDescent="0.3">
      <c r="A116" s="326" t="s">
        <v>383</v>
      </c>
      <c r="B116" s="326" t="s">
        <v>404</v>
      </c>
      <c r="C116" s="328" t="s">
        <v>247</v>
      </c>
    </row>
    <row r="117" spans="1:3" hidden="1" x14ac:dyDescent="0.3">
      <c r="A117" s="327" t="s">
        <v>384</v>
      </c>
      <c r="B117" s="327" t="s">
        <v>405</v>
      </c>
      <c r="C117" s="329" t="s">
        <v>247</v>
      </c>
    </row>
    <row r="118" spans="1:3" hidden="1" x14ac:dyDescent="0.3">
      <c r="A118" s="326" t="s">
        <v>385</v>
      </c>
      <c r="B118" s="326" t="s">
        <v>406</v>
      </c>
      <c r="C118" s="328" t="s">
        <v>247</v>
      </c>
    </row>
    <row r="119" spans="1:3" hidden="1" x14ac:dyDescent="0.3">
      <c r="A119" s="327" t="s">
        <v>386</v>
      </c>
      <c r="B119" s="327" t="s">
        <v>407</v>
      </c>
      <c r="C119" s="329" t="s">
        <v>247</v>
      </c>
    </row>
    <row r="120" spans="1:3" hidden="1" x14ac:dyDescent="0.3">
      <c r="A120" s="326" t="s">
        <v>387</v>
      </c>
      <c r="B120" s="326" t="s">
        <v>408</v>
      </c>
      <c r="C120" s="328" t="s">
        <v>247</v>
      </c>
    </row>
    <row r="121" spans="1:3" hidden="1" x14ac:dyDescent="0.3">
      <c r="A121" s="327" t="s">
        <v>388</v>
      </c>
      <c r="B121" s="327" t="s">
        <v>409</v>
      </c>
      <c r="C121" s="329" t="s">
        <v>247</v>
      </c>
    </row>
    <row r="122" spans="1:3" hidden="1" x14ac:dyDescent="0.3">
      <c r="A122" s="326" t="s">
        <v>389</v>
      </c>
      <c r="B122" s="326" t="s">
        <v>410</v>
      </c>
      <c r="C122" s="328" t="s">
        <v>247</v>
      </c>
    </row>
    <row r="123" spans="1:3" hidden="1" x14ac:dyDescent="0.3">
      <c r="A123" s="327" t="s">
        <v>390</v>
      </c>
      <c r="B123" s="327" t="s">
        <v>411</v>
      </c>
      <c r="C123" s="329" t="s">
        <v>247</v>
      </c>
    </row>
    <row r="124" spans="1:3" hidden="1" x14ac:dyDescent="0.3">
      <c r="A124" s="326" t="s">
        <v>391</v>
      </c>
      <c r="B124" s="326" t="s">
        <v>412</v>
      </c>
      <c r="C124" s="328" t="s">
        <v>247</v>
      </c>
    </row>
    <row r="125" spans="1:3" hidden="1" x14ac:dyDescent="0.3">
      <c r="A125" s="327" t="s">
        <v>392</v>
      </c>
      <c r="B125" s="327" t="s">
        <v>413</v>
      </c>
      <c r="C125" s="329" t="s">
        <v>247</v>
      </c>
    </row>
    <row r="126" spans="1:3" hidden="1" x14ac:dyDescent="0.3">
      <c r="A126" s="326" t="s">
        <v>393</v>
      </c>
      <c r="B126" s="326" t="s">
        <v>414</v>
      </c>
      <c r="C126" s="328" t="s">
        <v>247</v>
      </c>
    </row>
    <row r="127" spans="1:3" hidden="1" x14ac:dyDescent="0.3">
      <c r="A127" s="327" t="s">
        <v>415</v>
      </c>
      <c r="B127" s="327" t="s">
        <v>423</v>
      </c>
      <c r="C127" s="327" t="s">
        <v>247</v>
      </c>
    </row>
    <row r="128" spans="1:3" hidden="1" x14ac:dyDescent="0.3">
      <c r="A128" s="326" t="s">
        <v>416</v>
      </c>
      <c r="B128" s="326" t="s">
        <v>424</v>
      </c>
      <c r="C128" s="326" t="s">
        <v>247</v>
      </c>
    </row>
    <row r="129" spans="1:3" hidden="1" x14ac:dyDescent="0.3">
      <c r="A129" s="327" t="s">
        <v>417</v>
      </c>
      <c r="B129" s="327" t="s">
        <v>425</v>
      </c>
      <c r="C129" s="327" t="s">
        <v>247</v>
      </c>
    </row>
    <row r="130" spans="1:3" hidden="1" x14ac:dyDescent="0.3">
      <c r="A130" s="326" t="s">
        <v>418</v>
      </c>
      <c r="B130" s="326" t="s">
        <v>426</v>
      </c>
      <c r="C130" s="326" t="s">
        <v>247</v>
      </c>
    </row>
    <row r="131" spans="1:3" hidden="1" x14ac:dyDescent="0.3">
      <c r="A131" s="327" t="s">
        <v>419</v>
      </c>
      <c r="B131" s="327" t="s">
        <v>427</v>
      </c>
      <c r="C131" s="327" t="s">
        <v>247</v>
      </c>
    </row>
    <row r="132" spans="1:3" hidden="1" x14ac:dyDescent="0.3">
      <c r="A132" s="326" t="s">
        <v>420</v>
      </c>
      <c r="B132" s="326" t="s">
        <v>428</v>
      </c>
      <c r="C132" s="326" t="s">
        <v>247</v>
      </c>
    </row>
    <row r="133" spans="1:3" hidden="1" x14ac:dyDescent="0.3">
      <c r="A133" s="327" t="s">
        <v>421</v>
      </c>
      <c r="B133" s="327" t="s">
        <v>429</v>
      </c>
      <c r="C133" s="327" t="s">
        <v>247</v>
      </c>
    </row>
    <row r="134" spans="1:3" hidden="1" x14ac:dyDescent="0.3">
      <c r="A134" s="326" t="s">
        <v>422</v>
      </c>
      <c r="B134" s="326" t="s">
        <v>430</v>
      </c>
      <c r="C134" s="326" t="s">
        <v>247</v>
      </c>
    </row>
    <row r="135" spans="1:3" ht="27.6" hidden="1" x14ac:dyDescent="0.3">
      <c r="A135" s="337" t="s">
        <v>373</v>
      </c>
      <c r="B135" s="343" t="s">
        <v>394</v>
      </c>
      <c r="C135" s="339" t="s">
        <v>247</v>
      </c>
    </row>
    <row r="136" spans="1:3" ht="27.6" hidden="1" x14ac:dyDescent="0.3">
      <c r="A136" s="327" t="s">
        <v>374</v>
      </c>
      <c r="B136" s="334" t="s">
        <v>395</v>
      </c>
      <c r="C136" s="329" t="s">
        <v>247</v>
      </c>
    </row>
    <row r="137" spans="1:3" ht="27.6" hidden="1" x14ac:dyDescent="0.3">
      <c r="A137" s="326" t="s">
        <v>375</v>
      </c>
      <c r="B137" s="335" t="s">
        <v>396</v>
      </c>
      <c r="C137" s="328" t="s">
        <v>247</v>
      </c>
    </row>
    <row r="138" spans="1:3" ht="27.6" hidden="1" x14ac:dyDescent="0.3">
      <c r="A138" s="327" t="s">
        <v>376</v>
      </c>
      <c r="B138" s="334" t="s">
        <v>397</v>
      </c>
      <c r="C138" s="329" t="s">
        <v>247</v>
      </c>
    </row>
    <row r="139" spans="1:3" ht="27.6" hidden="1" x14ac:dyDescent="0.3">
      <c r="A139" s="326" t="s">
        <v>377</v>
      </c>
      <c r="B139" s="335" t="s">
        <v>398</v>
      </c>
      <c r="C139" s="328" t="s">
        <v>247</v>
      </c>
    </row>
    <row r="140" spans="1:3" ht="27.6" hidden="1" x14ac:dyDescent="0.3">
      <c r="A140" s="327" t="s">
        <v>378</v>
      </c>
      <c r="B140" s="334" t="s">
        <v>399</v>
      </c>
      <c r="C140" s="329" t="s">
        <v>247</v>
      </c>
    </row>
    <row r="141" spans="1:3" ht="27.6" hidden="1" x14ac:dyDescent="0.3">
      <c r="A141" s="326" t="s">
        <v>379</v>
      </c>
      <c r="B141" s="335" t="s">
        <v>400</v>
      </c>
      <c r="C141" s="328" t="s">
        <v>247</v>
      </c>
    </row>
    <row r="142" spans="1:3" ht="27.6" hidden="1" x14ac:dyDescent="0.3">
      <c r="A142" s="327" t="s">
        <v>386</v>
      </c>
      <c r="B142" s="334" t="s">
        <v>407</v>
      </c>
      <c r="C142" s="329" t="s">
        <v>247</v>
      </c>
    </row>
    <row r="143" spans="1:3" ht="27.6" hidden="1" x14ac:dyDescent="0.3">
      <c r="A143" s="326" t="s">
        <v>387</v>
      </c>
      <c r="B143" s="335" t="s">
        <v>408</v>
      </c>
      <c r="C143" s="328" t="s">
        <v>247</v>
      </c>
    </row>
    <row r="144" spans="1:3" ht="27.6" hidden="1" x14ac:dyDescent="0.3">
      <c r="A144" s="327" t="s">
        <v>388</v>
      </c>
      <c r="B144" s="334" t="s">
        <v>409</v>
      </c>
      <c r="C144" s="329" t="s">
        <v>247</v>
      </c>
    </row>
    <row r="145" spans="1:3" hidden="1" x14ac:dyDescent="0.3">
      <c r="A145" s="327" t="s">
        <v>415</v>
      </c>
      <c r="B145" s="327" t="s">
        <v>423</v>
      </c>
      <c r="C145" s="327" t="s">
        <v>247</v>
      </c>
    </row>
    <row r="146" spans="1:3" hidden="1" x14ac:dyDescent="0.3">
      <c r="A146" s="326" t="s">
        <v>416</v>
      </c>
      <c r="B146" s="326" t="s">
        <v>424</v>
      </c>
      <c r="C146" s="326" t="s">
        <v>247</v>
      </c>
    </row>
    <row r="147" spans="1:3" hidden="1" x14ac:dyDescent="0.3">
      <c r="A147" s="327" t="s">
        <v>417</v>
      </c>
      <c r="B147" s="327" t="s">
        <v>425</v>
      </c>
      <c r="C147" s="327" t="s">
        <v>247</v>
      </c>
    </row>
    <row r="148" spans="1:3" hidden="1" x14ac:dyDescent="0.3">
      <c r="A148" s="326" t="s">
        <v>418</v>
      </c>
      <c r="B148" s="326" t="s">
        <v>426</v>
      </c>
      <c r="C148" s="326" t="s">
        <v>247</v>
      </c>
    </row>
    <row r="149" spans="1:3" hidden="1" x14ac:dyDescent="0.3">
      <c r="A149" s="327" t="s">
        <v>419</v>
      </c>
      <c r="B149" s="327" t="s">
        <v>427</v>
      </c>
      <c r="C149" s="327" t="s">
        <v>247</v>
      </c>
    </row>
    <row r="150" spans="1:3" hidden="1" x14ac:dyDescent="0.3">
      <c r="A150" s="326" t="s">
        <v>420</v>
      </c>
      <c r="B150" s="326" t="s">
        <v>428</v>
      </c>
      <c r="C150" s="326" t="s">
        <v>247</v>
      </c>
    </row>
  </sheetData>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87"/>
  <sheetViews>
    <sheetView zoomScaleNormal="100" workbookViewId="0">
      <selection activeCell="P22" sqref="P22"/>
    </sheetView>
  </sheetViews>
  <sheetFormatPr defaultColWidth="9.109375" defaultRowHeight="13.2" x14ac:dyDescent="0.25"/>
  <cols>
    <col min="1" max="1" width="14.109375" style="6" customWidth="1"/>
    <col min="2" max="2" width="1.6640625" style="6" customWidth="1"/>
    <col min="3" max="3" width="30.109375" style="6" customWidth="1"/>
    <col min="4" max="4" width="1.88671875"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tr">
        <f>'SCH A'!A2</f>
        <v xml:space="preserve"> (Fill out this form regardless of the project being qualified for incentives or not)</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'SCH A'!C5</f>
        <v>0</v>
      </c>
      <c r="D5" s="41"/>
      <c r="E5" s="12"/>
      <c r="F5" s="12"/>
      <c r="G5" s="13"/>
      <c r="H5" s="14"/>
      <c r="I5" s="14" t="s">
        <v>4</v>
      </c>
      <c r="J5" s="15">
        <f ca="1" xml:space="preserve"> TODAY()</f>
        <v>44474</v>
      </c>
    </row>
    <row r="6" spans="1:10" ht="6" customHeight="1" x14ac:dyDescent="0.25">
      <c r="A6" s="11"/>
      <c r="B6" s="11"/>
      <c r="C6" s="362"/>
      <c r="D6" s="362"/>
      <c r="E6" s="12"/>
      <c r="F6" s="12"/>
      <c r="G6" s="13"/>
      <c r="H6" s="14"/>
      <c r="I6" s="14"/>
      <c r="J6" s="15"/>
    </row>
    <row r="7" spans="1:10" x14ac:dyDescent="0.25">
      <c r="A7" s="11" t="s">
        <v>3</v>
      </c>
      <c r="B7" s="11"/>
      <c r="C7" s="404">
        <f>'SCH A'!C7:G7</f>
        <v>0</v>
      </c>
      <c r="D7" s="404">
        <f>+'SCH A'!D7</f>
        <v>0</v>
      </c>
      <c r="E7" s="404">
        <f>+'SCH A'!E7</f>
        <v>0</v>
      </c>
      <c r="F7" s="404">
        <f>+'SCH A'!F7</f>
        <v>0</v>
      </c>
      <c r="G7" s="404">
        <f>+'SCH A'!G7</f>
        <v>0</v>
      </c>
      <c r="H7" s="253"/>
      <c r="I7" s="253" t="s">
        <v>433</v>
      </c>
      <c r="J7" s="1" t="s">
        <v>184</v>
      </c>
    </row>
    <row r="8" spans="1:10" ht="6" customHeight="1" x14ac:dyDescent="0.25">
      <c r="A8" s="11"/>
      <c r="B8" s="11"/>
      <c r="C8" s="362"/>
      <c r="D8" s="362"/>
      <c r="E8" s="362"/>
      <c r="F8" s="362"/>
      <c r="G8" s="362"/>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6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7" thickBot="1" x14ac:dyDescent="0.3">
      <c r="A14" s="325" t="s">
        <v>185</v>
      </c>
      <c r="B14" s="19"/>
      <c r="C14" s="19" t="s">
        <v>167</v>
      </c>
      <c r="D14" s="20"/>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4"/>
      <c r="E15" s="358"/>
      <c r="F15" s="25"/>
      <c r="G15" s="359"/>
      <c r="H15" s="26" t="str">
        <f>IFERROR(VLOOKUP(C15,inputSchF!$A$2:$F$105,6,FALSE),"")</f>
        <v/>
      </c>
      <c r="I15" s="361" t="str">
        <f>IFERROR(H15/G15,"")</f>
        <v/>
      </c>
      <c r="J15" s="26" t="str">
        <f>IF(AND(ISNUMBER(E15),ISNUMBER(H15)),E15*H15,"-")</f>
        <v>-</v>
      </c>
    </row>
    <row r="16" spans="1:10" ht="6" customHeight="1" x14ac:dyDescent="0.25">
      <c r="A16" s="352"/>
      <c r="B16" s="299"/>
      <c r="C16" s="348"/>
      <c r="D16" s="24"/>
      <c r="E16" s="330"/>
      <c r="F16" s="25"/>
      <c r="G16" s="27"/>
      <c r="H16" s="26"/>
      <c r="I16" s="361"/>
      <c r="J16" s="26"/>
    </row>
    <row r="17" spans="1:13" ht="13.8" x14ac:dyDescent="0.3">
      <c r="A17" s="300"/>
      <c r="B17" s="299"/>
      <c r="C17" s="347"/>
      <c r="D17" s="24"/>
      <c r="E17" s="358"/>
      <c r="F17" s="25"/>
      <c r="G17" s="359"/>
      <c r="H17" s="26" t="str">
        <f>IFERROR(VLOOKUP(C17,inputSchF!$A$2:$F$105,6,FALSE),"")</f>
        <v/>
      </c>
      <c r="I17" s="361" t="str">
        <f>IFERROR(H17/G17,"")</f>
        <v/>
      </c>
      <c r="J17" s="26" t="str">
        <f>IF(AND(ISNUMBER(E17),ISNUMBER(H17)),E17*H17,"-")</f>
        <v>-</v>
      </c>
    </row>
    <row r="18" spans="1:13" ht="6" customHeight="1" x14ac:dyDescent="0.25">
      <c r="A18" s="352"/>
      <c r="B18" s="299"/>
      <c r="C18" s="348"/>
      <c r="D18" s="24"/>
      <c r="E18" s="331"/>
      <c r="F18" s="25"/>
      <c r="G18" s="26"/>
      <c r="H18" s="26"/>
      <c r="I18" s="361"/>
      <c r="J18" s="26"/>
    </row>
    <row r="19" spans="1:13" ht="13.8" x14ac:dyDescent="0.3">
      <c r="A19" s="300"/>
      <c r="B19" s="299"/>
      <c r="C19" s="347"/>
      <c r="D19" s="24"/>
      <c r="E19" s="358"/>
      <c r="F19" s="25"/>
      <c r="G19" s="359"/>
      <c r="H19" s="26" t="str">
        <f>IFERROR(VLOOKUP(C19,inputSchF!$A$2:$F$105,6,FALSE),"")</f>
        <v/>
      </c>
      <c r="I19" s="361" t="str">
        <f>IFERROR(H19/G19,"")</f>
        <v/>
      </c>
      <c r="J19" s="26" t="str">
        <f>IF(AND(ISNUMBER(E19),ISNUMBER(H19)),E19*H19,"-")</f>
        <v>-</v>
      </c>
    </row>
    <row r="20" spans="1:13" ht="6" customHeight="1" x14ac:dyDescent="0.25">
      <c r="A20" s="352"/>
      <c r="B20" s="299"/>
      <c r="C20" s="348"/>
      <c r="D20" s="24"/>
      <c r="E20" s="331"/>
      <c r="F20" s="25"/>
      <c r="G20" s="26"/>
      <c r="H20" s="26"/>
      <c r="I20" s="361"/>
      <c r="J20" s="26"/>
    </row>
    <row r="21" spans="1:13" ht="13.8" x14ac:dyDescent="0.3">
      <c r="A21" s="300"/>
      <c r="B21" s="299"/>
      <c r="C21" s="347"/>
      <c r="D21" s="24"/>
      <c r="E21" s="358"/>
      <c r="F21" s="25"/>
      <c r="G21" s="359"/>
      <c r="H21" s="26" t="str">
        <f>IFERROR(VLOOKUP(C21,inputSchF!$A$2:$F$105,6,FALSE),"")</f>
        <v/>
      </c>
      <c r="I21" s="361" t="str">
        <f>IFERROR(H21/G21,"")</f>
        <v/>
      </c>
      <c r="J21" s="26" t="str">
        <f>IF(AND(ISNUMBER(E21),ISNUMBER(H21)),E21*H21,"-")</f>
        <v>-</v>
      </c>
    </row>
    <row r="22" spans="1:13" ht="6" customHeight="1" x14ac:dyDescent="0.25">
      <c r="A22" s="352"/>
      <c r="B22" s="299"/>
      <c r="C22" s="348"/>
      <c r="D22" s="24"/>
      <c r="E22" s="331"/>
      <c r="F22" s="25"/>
      <c r="G22" s="26"/>
      <c r="H22" s="26"/>
      <c r="I22" s="361"/>
      <c r="J22" s="26"/>
    </row>
    <row r="23" spans="1:13" ht="13.8" x14ac:dyDescent="0.3">
      <c r="A23" s="300"/>
      <c r="B23" s="299"/>
      <c r="C23" s="347"/>
      <c r="D23" s="24"/>
      <c r="E23" s="358"/>
      <c r="F23" s="25"/>
      <c r="G23" s="359"/>
      <c r="H23" s="26" t="str">
        <f>IFERROR(VLOOKUP(C23,inputSchF!$A$2:$F$105,6,FALSE),"")</f>
        <v/>
      </c>
      <c r="I23" s="361" t="str">
        <f>IFERROR(H23/G23,"")</f>
        <v/>
      </c>
      <c r="J23" s="26" t="str">
        <f>IF(AND(ISNUMBER(E23),ISNUMBER(H23)),E23*H23,"-")</f>
        <v>-</v>
      </c>
    </row>
    <row r="24" spans="1:13" ht="6" customHeight="1" x14ac:dyDescent="0.25">
      <c r="A24" s="352"/>
      <c r="B24" s="299"/>
      <c r="C24" s="348"/>
      <c r="D24" s="24"/>
      <c r="E24" s="331"/>
      <c r="F24" s="25"/>
      <c r="G24" s="26"/>
      <c r="H24" s="26"/>
      <c r="I24" s="361"/>
      <c r="J24" s="26"/>
    </row>
    <row r="25" spans="1:13" ht="13.8" x14ac:dyDescent="0.3">
      <c r="A25" s="300"/>
      <c r="B25" s="299"/>
      <c r="C25" s="347"/>
      <c r="D25" s="24"/>
      <c r="E25" s="358"/>
      <c r="F25" s="25"/>
      <c r="G25" s="359"/>
      <c r="H25" s="26" t="str">
        <f>IFERROR(VLOOKUP(C25,inputSchF!$A$2:$F$105,6,FALSE),"")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4"/>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4"/>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4"/>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63"/>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63"/>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1.4" x14ac:dyDescent="0.25">
      <c r="A68" s="317" t="s">
        <v>432</v>
      </c>
      <c r="B68" s="318"/>
      <c r="C68" s="319"/>
      <c r="D68" s="318"/>
      <c r="E68" s="320"/>
      <c r="F68" s="320"/>
      <c r="G68" s="321"/>
      <c r="H68" s="321"/>
      <c r="I68" s="321"/>
      <c r="J68" s="322"/>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362">
        <f>+C5</f>
        <v>0</v>
      </c>
      <c r="D72" s="362"/>
      <c r="E72" s="12"/>
      <c r="F72" s="12"/>
      <c r="G72" s="13"/>
      <c r="H72" s="14"/>
      <c r="I72" s="14" t="s">
        <v>4</v>
      </c>
      <c r="J72" s="15">
        <f ca="1" xml:space="preserve"> TODAY()</f>
        <v>44474</v>
      </c>
    </row>
    <row r="73" spans="1:10" ht="4.5" customHeight="1" x14ac:dyDescent="0.25">
      <c r="A73" s="11"/>
      <c r="B73" s="11"/>
      <c r="C73" s="362"/>
      <c r="D73" s="362"/>
      <c r="E73" s="12"/>
      <c r="F73" s="12"/>
      <c r="G73" s="13"/>
      <c r="H73" s="14"/>
      <c r="I73" s="14"/>
      <c r="J73" s="15"/>
    </row>
    <row r="74" spans="1:10" x14ac:dyDescent="0.25">
      <c r="A74" s="11" t="s">
        <v>3</v>
      </c>
      <c r="B74" s="11"/>
      <c r="C74" s="389">
        <f>+C7</f>
        <v>0</v>
      </c>
      <c r="D74" s="389"/>
      <c r="E74" s="389"/>
      <c r="F74" s="389"/>
      <c r="G74" s="389"/>
      <c r="H74" s="14"/>
      <c r="I74" s="14" t="str">
        <f>+I7</f>
        <v xml:space="preserve">Option: </v>
      </c>
      <c r="J74" s="17" t="str">
        <f>+J7</f>
        <v>F</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362">
        <f>+C5</f>
        <v>0</v>
      </c>
      <c r="D136" s="362"/>
      <c r="E136" s="12"/>
      <c r="F136" s="12"/>
      <c r="G136" s="13"/>
      <c r="H136" s="14"/>
      <c r="I136" s="14" t="s">
        <v>4</v>
      </c>
      <c r="J136" s="15">
        <f ca="1" xml:space="preserve"> TODAY()</f>
        <v>44474</v>
      </c>
    </row>
    <row r="137" spans="1:10" ht="3.75" customHeight="1" x14ac:dyDescent="0.25">
      <c r="A137" s="11"/>
      <c r="B137" s="11"/>
      <c r="C137" s="362"/>
      <c r="D137" s="362"/>
      <c r="E137" s="12"/>
      <c r="F137" s="12"/>
      <c r="G137" s="13"/>
      <c r="H137" s="14"/>
      <c r="I137" s="14"/>
      <c r="J137" s="15"/>
    </row>
    <row r="138" spans="1:10" x14ac:dyDescent="0.25">
      <c r="A138" s="11" t="s">
        <v>3</v>
      </c>
      <c r="B138" s="11"/>
      <c r="C138" s="389">
        <f>+C7</f>
        <v>0</v>
      </c>
      <c r="D138" s="389"/>
      <c r="E138" s="389"/>
      <c r="F138" s="389"/>
      <c r="G138" s="389"/>
      <c r="H138" s="14"/>
      <c r="I138" s="14" t="str">
        <f>+I7</f>
        <v xml:space="preserve">Option: </v>
      </c>
      <c r="J138" s="17" t="str">
        <f>+J7</f>
        <v>F</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7">
    <mergeCell ref="A143:C143"/>
    <mergeCell ref="A145:C145"/>
    <mergeCell ref="D148:D149"/>
    <mergeCell ref="D121:D122"/>
    <mergeCell ref="A123:C123"/>
    <mergeCell ref="D124:D125"/>
    <mergeCell ref="D127:D129"/>
    <mergeCell ref="A133:J133"/>
    <mergeCell ref="C138:G138"/>
    <mergeCell ref="D117:D119"/>
    <mergeCell ref="A41:J41"/>
    <mergeCell ref="A42:J42"/>
    <mergeCell ref="A51:H51"/>
    <mergeCell ref="A69:J69"/>
    <mergeCell ref="C74:G74"/>
    <mergeCell ref="D80:D89"/>
    <mergeCell ref="D91:D99"/>
    <mergeCell ref="D101:D102"/>
    <mergeCell ref="D104:D108"/>
    <mergeCell ref="D110:D112"/>
    <mergeCell ref="D114:D115"/>
    <mergeCell ref="A38:H38"/>
    <mergeCell ref="A1:J1"/>
    <mergeCell ref="C7:G7"/>
    <mergeCell ref="A12:J12"/>
    <mergeCell ref="A27:J27"/>
    <mergeCell ref="A28:J28"/>
  </mergeCells>
  <conditionalFormatting sqref="H15 H17 H19 H21 H23 H25">
    <cfRule type="expression" dxfId="0" priority="1">
      <formula>AND($H15=0,$E15&gt;0)=TRUE</formula>
    </cfRule>
  </conditionalFormatting>
  <dataValidations count="16">
    <dataValidation type="list" allowBlank="1" showInputMessage="1" showErrorMessage="1" promptTitle="Select Schedule Type " prompt="Select Schedule or Option " sqref="I7" xr:uid="{00000000-0002-0000-0B00-000000000000}">
      <formula1>", Schedule: , Option: "</formula1>
    </dataValidation>
    <dataValidation allowBlank="1" showErrorMessage="1" promptTitle="Enter project name" prompt="Example:  Pinto Basin Road" sqref="C7:G7" xr:uid="{00000000-0002-0000-0B00-000001000000}"/>
    <dataValidation allowBlank="1" showErrorMessage="1" promptTitle="Enter project number" prompt="Example:  CA FTNP JOTR 11(5)" sqref="C5:D5" xr:uid="{00000000-0002-0000-0B00-000002000000}"/>
    <dataValidation type="list" allowBlank="1" showErrorMessage="1" error="Please use the drop-down menu to select the FP version" promptTitle="Select FP Version" prompt="Select FP-03 or FP-14" sqref="E3" xr:uid="{00000000-0002-0000-0B00-000003000000}">
      <formula1>" , FP-03, FP-14"</formula1>
    </dataValidation>
    <dataValidation type="list" allowBlank="1" showErrorMessage="1" error="Please use the drop-down menu to select the project units" promptTitle="Select Units" prompt="Select Metric or US Customary" sqref="J9" xr:uid="{00000000-0002-0000-0B00-000004000000}">
      <formula1>"METRIC, US CUSTOMARY"</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B00-000005000000}">
      <formula1>"  , A, B, C, D, E, F, G, W, X, Y, Z"</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B00-000006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B00-000007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B00-000008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B00-000009000000}">
      <formula1>0</formula1>
    </dataValidation>
    <dataValidation type="whole" operator="greaterThanOrEqual" allowBlank="1" showInputMessage="1" showErrorMessage="1" error="Bid decimals set to zero._x000a__x000a_Contact Heidi Hirsbrunner (X3622)_x000a_                   _x000a_to modify Incentive Spreadsheet." sqref="E80:E89 E104:E108" xr:uid="{00000000-0002-0000-0B00-00000A000000}">
      <formula1>0</formula1>
    </dataValidation>
    <dataValidation allowBlank="1" showErrorMessage="1" sqref="C83" xr:uid="{00000000-0002-0000-0B00-00000B000000}"/>
    <dataValidation allowBlank="1" sqref="C72:D72 C136:D136" xr:uid="{00000000-0002-0000-0B00-00000C000000}"/>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B00-00000D000000}">
      <formula1>0</formula1>
    </dataValidation>
    <dataValidation type="list" allowBlank="1" showErrorMessage="1" promptTitle="Select Schedule Type " prompt="Select Schedule or Option " sqref="H7" xr:uid="{00000000-0002-0000-0B00-00000E000000}">
      <formula1>", Schedule: , Option: "</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H15 H17 H19 H21 H23 H25" xr:uid="{00000000-0002-0000-0B00-00000F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10000000}">
          <x14:formula1>
            <xm:f>inputSchF!$A$2:$A$105</xm:f>
          </x14:formula1>
          <xm:sqref>C15 C17 C19 C21 C23 C25</xm:sqref>
        </x14:dataValidation>
        <x14:dataValidation type="list" allowBlank="1" showInputMessage="1" showErrorMessage="1" xr:uid="{00000000-0002-0000-0B00-000011000000}">
          <x14:formula1>
            <xm:f>inputSchF!$A$134:$A$150</xm:f>
          </x14:formula1>
          <xm:sqref>A45 A47 A49</xm:sqref>
        </x14:dataValidation>
        <x14:dataValidation type="list" allowBlank="1" showInputMessage="1" showErrorMessage="1" xr:uid="{00000000-0002-0000-0B00-000012000000}">
          <x14:formula1>
            <xm:f>inputSchF!$A$106:$A$134</xm:f>
          </x14:formula1>
          <xm:sqref>C31 C33 C35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0"/>
  <sheetViews>
    <sheetView workbookViewId="0">
      <pane xSplit="3" ySplit="1" topLeftCell="D80" activePane="bottomRight" state="frozen"/>
      <selection activeCell="F3" sqref="F3"/>
      <selection pane="topRight" activeCell="F3" sqref="F3"/>
      <selection pane="bottomLeft" activeCell="F3" sqref="F3"/>
      <selection pane="bottomRight" activeCell="I104" sqref="I104"/>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F'!$C$15:$E$25,3,FALSE),"")</f>
        <v/>
      </c>
      <c r="E2" s="360" t="str">
        <f>IFERROR(VLOOKUP($A2,'SCH F'!$C$15:$G$25,5,FALSE),"")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F'!$C$15:$E$25,3,FALSE),"")</f>
        <v/>
      </c>
      <c r="E3" s="360" t="str">
        <f>IFERROR(VLOOKUP($A3,'SCH F'!$C$15:$G$25,5,FALSE),"")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F'!$C$15:$E$25,3,FALSE),"")</f>
        <v/>
      </c>
      <c r="E4" s="360" t="str">
        <f>IFERROR(VLOOKUP($A4,'SCH F'!$C$15:$G$25,5,FALSE),"")</f>
        <v/>
      </c>
      <c r="F4" s="26" t="e">
        <f t="shared" si="0"/>
        <v>#VALUE!</v>
      </c>
    </row>
    <row r="5" spans="1:6" x14ac:dyDescent="0.3">
      <c r="A5" s="327" t="s">
        <v>192</v>
      </c>
      <c r="B5" s="327" t="s">
        <v>250</v>
      </c>
      <c r="C5" s="329" t="s">
        <v>247</v>
      </c>
      <c r="D5" s="345" t="str">
        <f>IFERROR(VLOOKUP($A5,'SCH F'!$C$15:$E$25,3,FALSE),"")</f>
        <v/>
      </c>
      <c r="E5" s="360" t="str">
        <f>IFERROR(VLOOKUP($A5,'SCH F'!$C$15:$G$25,5,FALSE),"")</f>
        <v/>
      </c>
      <c r="F5" s="26" t="e">
        <f t="shared" si="0"/>
        <v>#VALUE!</v>
      </c>
    </row>
    <row r="6" spans="1:6" x14ac:dyDescent="0.3">
      <c r="A6" s="326" t="s">
        <v>193</v>
      </c>
      <c r="B6" s="326" t="s">
        <v>251</v>
      </c>
      <c r="C6" s="328" t="s">
        <v>247</v>
      </c>
      <c r="D6" s="345" t="str">
        <f>IFERROR(VLOOKUP($A6,'SCH F'!$C$15:$E$25,3,FALSE),"")</f>
        <v/>
      </c>
      <c r="E6" s="360" t="str">
        <f>IFERROR(VLOOKUP($A6,'SCH F'!$C$15:$G$25,5,FALSE),"")</f>
        <v/>
      </c>
      <c r="F6" s="26" t="e">
        <f t="shared" si="0"/>
        <v>#VALUE!</v>
      </c>
    </row>
    <row r="7" spans="1:6" x14ac:dyDescent="0.3">
      <c r="A7" s="327" t="s">
        <v>194</v>
      </c>
      <c r="B7" s="327" t="s">
        <v>246</v>
      </c>
      <c r="C7" s="329" t="s">
        <v>46</v>
      </c>
      <c r="D7" s="345" t="str">
        <f>IFERROR(VLOOKUP($A7,'SCH F'!$C$15:$E$25,3,FALSE),"")</f>
        <v/>
      </c>
      <c r="E7" s="360" t="str">
        <f>IFERROR(VLOOKUP($A7,'SCH F'!$C$15:$G$25,5,FALSE),"")</f>
        <v/>
      </c>
      <c r="F7" s="346"/>
    </row>
    <row r="8" spans="1:6" x14ac:dyDescent="0.3">
      <c r="A8" s="326" t="s">
        <v>195</v>
      </c>
      <c r="B8" s="326" t="s">
        <v>252</v>
      </c>
      <c r="C8" s="328" t="s">
        <v>46</v>
      </c>
      <c r="D8" s="345" t="str">
        <f>IFERROR(VLOOKUP($A8,'SCH F'!$C$15:$E$25,3,FALSE),"")</f>
        <v/>
      </c>
      <c r="E8" s="360" t="str">
        <f>IFERROR(VLOOKUP($A8,'SCH F'!$C$15:$G$25,5,FALSE),"")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F'!$C$15:$E$25,3,FALSE),"")</f>
        <v/>
      </c>
      <c r="E9" s="360" t="str">
        <f>IFERROR(VLOOKUP($A9,'SCH F'!$C$15:$G$25,5,FALSE),"")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F'!$C$15:$E$25,3,FALSE),"")</f>
        <v/>
      </c>
      <c r="E10" s="360" t="str">
        <f>IFERROR(VLOOKUP($A10,'SCH F'!$C$15:$G$25,5,FALSE),"")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F'!$C$15:$E$25,3,FALSE),"")</f>
        <v/>
      </c>
      <c r="E11" s="360" t="str">
        <f>IFERROR(VLOOKUP($A11,'SCH F'!$C$15:$G$25,5,FALSE),"")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F'!$C$15:$E$25,3,FALSE),"")</f>
        <v/>
      </c>
      <c r="E12" s="360" t="str">
        <f>IFERROR(VLOOKUP($A12,'SCH F'!$C$15:$G$25,5,FALSE),"")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F'!$C$15:$E$25,3,FALSE),"")</f>
        <v/>
      </c>
      <c r="E13" s="360" t="str">
        <f>IFERROR(VLOOKUP($A13,'SCH F'!$C$15:$G$25,5,FALSE),"")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F'!$C$15:$E$25,3,FALSE),"")</f>
        <v/>
      </c>
      <c r="E14" s="360" t="str">
        <f>IFERROR(VLOOKUP($A14,'SCH F'!$C$15:$G$25,5,FALSE),"")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F'!$C$15:$E$25,3,FALSE),"")</f>
        <v/>
      </c>
      <c r="E15" s="360" t="str">
        <f>IFERROR(VLOOKUP($A15,'SCH F'!$C$15:$G$25,5,FALSE),"")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F'!$C$15:$E$25,3,FALSE),"")</f>
        <v/>
      </c>
      <c r="E16" s="360" t="str">
        <f>IFERROR(VLOOKUP($A16,'SCH F'!$C$15:$G$25,5,FALSE),"")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F'!$C$15:$E$25,3,FALSE),"")</f>
        <v/>
      </c>
      <c r="E17" s="360" t="str">
        <f>IFERROR(VLOOKUP($A17,'SCH F'!$C$15:$G$25,5,FALSE),"")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F'!$C$15:$E$25,3,FALSE),"")</f>
        <v/>
      </c>
      <c r="E18" s="360" t="str">
        <f>IFERROR(VLOOKUP($A18,'SCH F'!$C$15:$G$25,5,FALSE),"")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F'!$C$15:$E$25,3,FALSE),"")</f>
        <v/>
      </c>
      <c r="E19" s="360" t="str">
        <f>IFERROR(VLOOKUP($A19,'SCH F'!$C$15:$G$25,5,FALSE),"")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F'!$C$15:$E$25,3,FALSE),"")</f>
        <v/>
      </c>
      <c r="E20" s="360" t="str">
        <f>IFERROR(VLOOKUP($A20,'SCH F'!$C$15:$G$25,5,FALSE),"")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F'!$C$15:$E$25,3,FALSE),"")</f>
        <v/>
      </c>
      <c r="E21" s="360" t="str">
        <f>IFERROR(VLOOKUP($A21,'SCH F'!$C$15:$G$25,5,FALSE),"")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F'!$C$15:$E$25,3,FALSE),"")</f>
        <v/>
      </c>
      <c r="E22" s="360" t="str">
        <f>IFERROR(VLOOKUP($A22,'SCH F'!$C$15:$G$25,5,FALSE),"")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F'!$C$15:$E$25,3,FALSE),"")</f>
        <v/>
      </c>
      <c r="E23" s="360" t="str">
        <f>IFERROR(VLOOKUP($A23,'SCH F'!$C$15:$G$25,5,FALSE),"")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F'!$C$15:$E$25,3,FALSE),"")</f>
        <v/>
      </c>
      <c r="E24" s="360" t="str">
        <f>IFERROR(VLOOKUP($A24,'SCH F'!$C$15:$G$25,5,FALSE),"")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F'!$C$15:$E$25,3,FALSE),"")</f>
        <v/>
      </c>
      <c r="E25" s="360" t="str">
        <f>IFERROR(VLOOKUP($A25,'SCH F'!$C$15:$G$25,5,FALSE),"")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F'!$C$15:$E$25,3,FALSE),"")</f>
        <v/>
      </c>
      <c r="E26" s="360" t="str">
        <f>IFERROR(VLOOKUP($A26,'SCH F'!$C$15:$G$25,5,FALSE),"")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F'!$C$15:$E$25,3,FALSE),"")</f>
        <v/>
      </c>
      <c r="E27" s="360" t="str">
        <f>IFERROR(VLOOKUP($A27,'SCH F'!$C$15:$G$25,5,FALSE),"")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F'!$C$15:$E$25,3,FALSE),"")</f>
        <v/>
      </c>
      <c r="E28" s="360" t="str">
        <f>IFERROR(VLOOKUP($A28,'SCH F'!$C$15:$G$25,5,FALSE),"")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F'!$C$15:$E$25,3,FALSE),"")</f>
        <v/>
      </c>
      <c r="E29" s="360" t="str">
        <f>IFERROR(VLOOKUP($A29,'SCH F'!$C$15:$G$25,5,FALSE),"")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F'!$C$15:$E$25,3,FALSE),"")</f>
        <v/>
      </c>
      <c r="E30" s="360" t="str">
        <f>IFERROR(VLOOKUP($A30,'SCH F'!$C$15:$G$25,5,FALSE),"")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F'!$C$15:$E$25,3,FALSE),"")</f>
        <v/>
      </c>
      <c r="E31" s="360" t="str">
        <f>IFERROR(VLOOKUP($A31,'SCH F'!$C$15:$G$25,5,FALSE),"")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F'!$C$15:$E$25,3,FALSE),"")</f>
        <v/>
      </c>
      <c r="E32" s="360" t="str">
        <f>IFERROR(VLOOKUP($A32,'SCH F'!$C$15:$G$25,5,FALSE),"")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F'!$C$15:$E$25,3,FALSE),"")</f>
        <v/>
      </c>
      <c r="E33" s="360" t="str">
        <f>IFERROR(VLOOKUP($A33,'SCH F'!$C$15:$G$25,5,FALSE),"")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F'!$C$15:$E$25,3,FALSE),"")</f>
        <v/>
      </c>
      <c r="E34" s="360" t="str">
        <f>IFERROR(VLOOKUP($A34,'SCH F'!$C$15:$G$25,5,FALSE),"")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F'!$C$15:$E$25,3,FALSE),"")</f>
        <v/>
      </c>
      <c r="E35" s="360" t="str">
        <f>IFERROR(VLOOKUP($A35,'SCH F'!$C$15:$G$25,5,FALSE),"")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F'!$C$15:$E$25,3,FALSE),"")</f>
        <v/>
      </c>
      <c r="E36" s="360" t="str">
        <f>IFERROR(VLOOKUP($A36,'SCH F'!$C$15:$G$25,5,FALSE),"")</f>
        <v/>
      </c>
      <c r="F36" s="26" t="e">
        <f t="shared" si="1"/>
        <v>#VALUE!</v>
      </c>
    </row>
    <row r="37" spans="1:6" x14ac:dyDescent="0.3">
      <c r="A37" s="327" t="s">
        <v>187</v>
      </c>
      <c r="B37" s="327" t="s">
        <v>251</v>
      </c>
      <c r="C37" s="329" t="s">
        <v>277</v>
      </c>
      <c r="D37" s="345" t="str">
        <f>IFERROR(VLOOKUP($A37,'SCH F'!$C$15:$E$25,3,FALSE),"")</f>
        <v/>
      </c>
      <c r="E37" s="360" t="str">
        <f>IFERROR(VLOOKUP($A37,'SCH F'!$C$15:$G$25,5,FALSE),"")</f>
        <v/>
      </c>
      <c r="F37" s="26" t="e">
        <f t="shared" si="1"/>
        <v>#VALUE!</v>
      </c>
    </row>
    <row r="38" spans="1:6" x14ac:dyDescent="0.3">
      <c r="A38" s="326" t="s">
        <v>224</v>
      </c>
      <c r="B38" s="326" t="s">
        <v>278</v>
      </c>
      <c r="C38" s="328" t="s">
        <v>247</v>
      </c>
      <c r="D38" s="345" t="str">
        <f>IFERROR(VLOOKUP($A38,'SCH F'!$C$15:$E$25,3,FALSE),"")</f>
        <v/>
      </c>
      <c r="E38" s="360" t="str">
        <f>IFERROR(VLOOKUP($A38,'SCH F'!$C$15:$G$25,5,FALSE),"")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F'!$C$15:$E$25,3,FALSE),"")</f>
        <v/>
      </c>
      <c r="E39" s="360" t="str">
        <f>IFERROR(VLOOKUP($A39,'SCH F'!$C$15:$G$25,5,FALSE),"")</f>
        <v/>
      </c>
      <c r="F39" s="26" t="e">
        <f t="shared" si="2"/>
        <v>#VALUE!</v>
      </c>
    </row>
    <row r="40" spans="1:6" x14ac:dyDescent="0.3">
      <c r="A40" s="326" t="s">
        <v>226</v>
      </c>
      <c r="B40" s="326" t="s">
        <v>280</v>
      </c>
      <c r="C40" s="328" t="s">
        <v>247</v>
      </c>
      <c r="D40" s="345" t="str">
        <f>IFERROR(VLOOKUP($A40,'SCH F'!$C$15:$E$25,3,FALSE),"")</f>
        <v/>
      </c>
      <c r="E40" s="360" t="str">
        <f>IFERROR(VLOOKUP($A40,'SCH F'!$C$15:$G$25,5,FALSE),"")</f>
        <v/>
      </c>
      <c r="F40" s="26" t="e">
        <f t="shared" si="2"/>
        <v>#VALUE!</v>
      </c>
    </row>
    <row r="41" spans="1:6" x14ac:dyDescent="0.3">
      <c r="A41" s="327" t="s">
        <v>227</v>
      </c>
      <c r="B41" s="327" t="s">
        <v>281</v>
      </c>
      <c r="C41" s="329" t="s">
        <v>46</v>
      </c>
      <c r="D41" s="345" t="str">
        <f>IFERROR(VLOOKUP($A41,'SCH F'!$C$15:$E$25,3,FALSE),"")</f>
        <v/>
      </c>
      <c r="E41" s="360" t="str">
        <f>IFERROR(VLOOKUP($A41,'SCH F'!$C$15:$G$25,5,FALSE),"")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F'!$C$15:$E$25,3,FALSE),"")</f>
        <v/>
      </c>
      <c r="E42" s="360" t="str">
        <f>IFERROR(VLOOKUP($A42,'SCH F'!$C$15:$G$25,5,FALSE),"")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F'!$C$15:$E$25,3,FALSE),"")</f>
        <v/>
      </c>
      <c r="E43" s="360" t="str">
        <f>IFERROR(VLOOKUP($A43,'SCH F'!$C$15:$G$25,5,FALSE),"")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F'!$C$15:$E$25,3,FALSE),"")</f>
        <v/>
      </c>
      <c r="E44" s="360" t="str">
        <f>IFERROR(VLOOKUP($A44,'SCH F'!$C$15:$G$25,5,FALSE),"")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F'!$C$15:$E$25,3,FALSE),"")</f>
        <v/>
      </c>
      <c r="E45" s="360" t="str">
        <f>IFERROR(VLOOKUP($A45,'SCH F'!$C$15:$G$25,5,FALSE),"")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F'!$C$15:$E$25,3,FALSE),"")</f>
        <v/>
      </c>
      <c r="E46" s="360" t="str">
        <f>IFERROR(VLOOKUP($A46,'SCH F'!$C$15:$G$25,5,FALSE),"")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F'!$C$15:$E$25,3,FALSE),"")</f>
        <v/>
      </c>
      <c r="E47" s="360" t="str">
        <f>IFERROR(VLOOKUP($A47,'SCH F'!$C$15:$G$25,5,FALSE),"")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F'!$C$15:$E$25,3,FALSE),"")</f>
        <v/>
      </c>
      <c r="E48" s="360" t="str">
        <f>IFERROR(VLOOKUP($A48,'SCH F'!$C$15:$G$25,5,FALSE),"")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F'!$C$15:$E$25,3,FALSE),"")</f>
        <v/>
      </c>
      <c r="E49" s="360" t="str">
        <f>IFERROR(VLOOKUP($A49,'SCH F'!$C$15:$G$25,5,FALSE),"")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F'!$C$15:$E$25,3,FALSE),"")</f>
        <v/>
      </c>
      <c r="E50" s="360" t="str">
        <f>IFERROR(VLOOKUP($A50,'SCH F'!$C$15:$G$25,5,FALSE),"")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F'!$C$15:$E$25,3,FALSE),"")</f>
        <v/>
      </c>
      <c r="E51" s="360" t="str">
        <f>IFERROR(VLOOKUP($A51,'SCH F'!$C$15:$G$25,5,FALSE),"")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F'!$C$15:$E$25,3,FALSE),"")</f>
        <v/>
      </c>
      <c r="E52" s="360" t="str">
        <f>IFERROR(VLOOKUP($A52,'SCH F'!$C$15:$G$25,5,FALSE),"")</f>
        <v/>
      </c>
      <c r="F52" s="26" t="e">
        <f t="shared" si="3"/>
        <v>#VALUE!</v>
      </c>
    </row>
    <row r="53" spans="1:6" x14ac:dyDescent="0.3">
      <c r="A53" s="327" t="s">
        <v>239</v>
      </c>
      <c r="B53" s="327" t="s">
        <v>280</v>
      </c>
      <c r="C53" s="329" t="s">
        <v>277</v>
      </c>
      <c r="D53" s="345" t="str">
        <f>IFERROR(VLOOKUP($A53,'SCH F'!$C$15:$E$25,3,FALSE),"")</f>
        <v/>
      </c>
      <c r="E53" s="360" t="str">
        <f>IFERROR(VLOOKUP($A53,'SCH F'!$C$15:$G$25,5,FALSE),"")</f>
        <v/>
      </c>
      <c r="F53" s="26" t="e">
        <f t="shared" si="3"/>
        <v>#VALUE!</v>
      </c>
    </row>
    <row r="54" spans="1:6" x14ac:dyDescent="0.3">
      <c r="A54" s="326" t="s">
        <v>240</v>
      </c>
      <c r="B54" s="326" t="s">
        <v>291</v>
      </c>
      <c r="C54" s="328" t="s">
        <v>247</v>
      </c>
      <c r="D54" s="345" t="str">
        <f>IFERROR(VLOOKUP($A54,'SCH F'!$C$15:$E$25,3,FALSE),"")</f>
        <v/>
      </c>
      <c r="E54" s="360" t="str">
        <f>IFERROR(VLOOKUP($A54,'SCH F'!$C$15:$G$25,5,FALSE),"")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F'!$C$15:$E$25,3,FALSE),"")</f>
        <v/>
      </c>
      <c r="E55" s="360" t="str">
        <f>IFERROR(VLOOKUP($A55,'SCH F'!$C$15:$G$25,5,FALSE),"")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F'!$C$15:$E$25,3,FALSE),"")</f>
        <v/>
      </c>
      <c r="E56" s="360" t="str">
        <f>IFERROR(VLOOKUP($A56,'SCH F'!$C$15:$G$25,5,FALSE),"")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F'!$C$15:$E$25,3,FALSE),"")</f>
        <v/>
      </c>
      <c r="E57" s="360" t="str">
        <f>IFERROR(VLOOKUP($A57,'SCH F'!$C$15:$G$25,5,FALSE),"")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F'!$C$15:$E$25,3,FALSE),"")</f>
        <v/>
      </c>
      <c r="E58" s="360" t="str">
        <f>IFERROR(VLOOKUP($A58,'SCH F'!$C$15:$G$25,5,FALSE),"")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F'!$C$15:$E$25,3,FALSE),"")</f>
        <v/>
      </c>
      <c r="E59" s="360" t="str">
        <f>IFERROR(VLOOKUP($A59,'SCH F'!$C$15:$G$25,5,FALSE),"")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F'!$C$15:$E$25,3,FALSE),"")</f>
        <v/>
      </c>
      <c r="E60" s="360" t="str">
        <f>IFERROR(VLOOKUP($A60,'SCH F'!$C$15:$G$25,5,FALSE),"")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F'!$C$15:$E$25,3,FALSE),"")</f>
        <v/>
      </c>
      <c r="E61" s="360" t="str">
        <f>IFERROR(VLOOKUP($A61,'SCH F'!$C$15:$G$25,5,FALSE),"")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F'!$C$15:$E$25,3,FALSE),"")</f>
        <v/>
      </c>
      <c r="E62" s="360" t="str">
        <f>IFERROR(VLOOKUP($A62,'SCH F'!$C$15:$G$25,5,FALSE),"")</f>
        <v/>
      </c>
      <c r="F62" s="26" t="e">
        <f t="shared" si="5"/>
        <v>#VALUE!</v>
      </c>
    </row>
    <row r="63" spans="1:6" x14ac:dyDescent="0.3">
      <c r="A63" s="327" t="s">
        <v>320</v>
      </c>
      <c r="B63" s="329" t="s">
        <v>335</v>
      </c>
      <c r="C63" s="329" t="s">
        <v>247</v>
      </c>
      <c r="D63" s="345" t="str">
        <f>IFERROR(VLOOKUP($A63,'SCH F'!$C$15:$E$25,3,FALSE),"")</f>
        <v/>
      </c>
      <c r="E63" s="360" t="str">
        <f>IFERROR(VLOOKUP($A63,'SCH F'!$C$15:$G$25,5,FALSE),"")</f>
        <v/>
      </c>
      <c r="F63" s="26" t="e">
        <f t="shared" si="5"/>
        <v>#VALUE!</v>
      </c>
    </row>
    <row r="64" spans="1:6" x14ac:dyDescent="0.3">
      <c r="A64" s="326" t="s">
        <v>321</v>
      </c>
      <c r="B64" s="328" t="s">
        <v>336</v>
      </c>
      <c r="C64" s="328" t="s">
        <v>247</v>
      </c>
      <c r="D64" s="345" t="str">
        <f>IFERROR(VLOOKUP($A64,'SCH F'!$C$15:$E$25,3,FALSE),"")</f>
        <v/>
      </c>
      <c r="E64" s="360" t="str">
        <f>IFERROR(VLOOKUP($A64,'SCH F'!$C$15:$G$25,5,FALSE),"")</f>
        <v/>
      </c>
      <c r="F64" s="26" t="e">
        <f t="shared" si="5"/>
        <v>#VALUE!</v>
      </c>
    </row>
    <row r="65" spans="1:6" x14ac:dyDescent="0.3">
      <c r="A65" s="327" t="s">
        <v>322</v>
      </c>
      <c r="B65" s="329" t="s">
        <v>337</v>
      </c>
      <c r="C65" s="329" t="s">
        <v>247</v>
      </c>
      <c r="D65" s="345" t="str">
        <f>IFERROR(VLOOKUP($A65,'SCH F'!$C$15:$E$25,3,FALSE),"")</f>
        <v/>
      </c>
      <c r="E65" s="360" t="str">
        <f>IFERROR(VLOOKUP($A65,'SCH F'!$C$15:$G$25,5,FALSE),"")</f>
        <v/>
      </c>
      <c r="F65" s="26" t="e">
        <f t="shared" si="5"/>
        <v>#VALUE!</v>
      </c>
    </row>
    <row r="66" spans="1:6" x14ac:dyDescent="0.3">
      <c r="A66" s="326" t="s">
        <v>323</v>
      </c>
      <c r="B66" s="328" t="s">
        <v>333</v>
      </c>
      <c r="C66" s="328" t="s">
        <v>46</v>
      </c>
      <c r="D66" s="345" t="str">
        <f>IFERROR(VLOOKUP($A66,'SCH F'!$C$15:$E$25,3,FALSE),"")</f>
        <v/>
      </c>
      <c r="E66" s="360" t="str">
        <f>IFERROR(VLOOKUP($A66,'SCH F'!$C$15:$G$25,5,FALSE),"")</f>
        <v/>
      </c>
      <c r="F66" s="345"/>
    </row>
    <row r="67" spans="1:6" x14ac:dyDescent="0.3">
      <c r="A67" s="327" t="s">
        <v>324</v>
      </c>
      <c r="B67" s="329" t="s">
        <v>334</v>
      </c>
      <c r="C67" s="329" t="s">
        <v>46</v>
      </c>
      <c r="D67" s="345" t="str">
        <f>IFERROR(VLOOKUP($A67,'SCH F'!$C$15:$E$25,3,FALSE),"")</f>
        <v/>
      </c>
      <c r="E67" s="360" t="str">
        <f>IFERROR(VLOOKUP($A67,'SCH F'!$C$15:$G$25,5,FALSE),"")</f>
        <v/>
      </c>
      <c r="F67" s="345"/>
    </row>
    <row r="68" spans="1:6" x14ac:dyDescent="0.3">
      <c r="A68" s="326" t="s">
        <v>325</v>
      </c>
      <c r="B68" s="328" t="s">
        <v>335</v>
      </c>
      <c r="C68" s="328" t="s">
        <v>46</v>
      </c>
      <c r="D68" s="345" t="str">
        <f>IFERROR(VLOOKUP($A68,'SCH F'!$C$15:$E$25,3,FALSE),"")</f>
        <v/>
      </c>
      <c r="E68" s="360" t="str">
        <f>IFERROR(VLOOKUP($A68,'SCH F'!$C$15:$G$25,5,FALSE),"")</f>
        <v/>
      </c>
      <c r="F68" s="345"/>
    </row>
    <row r="69" spans="1:6" x14ac:dyDescent="0.3">
      <c r="A69" s="327" t="s">
        <v>326</v>
      </c>
      <c r="B69" s="329" t="s">
        <v>336</v>
      </c>
      <c r="C69" s="329" t="s">
        <v>46</v>
      </c>
      <c r="D69" s="345" t="str">
        <f>IFERROR(VLOOKUP($A69,'SCH F'!$C$15:$E$25,3,FALSE),"")</f>
        <v/>
      </c>
      <c r="E69" s="360" t="str">
        <f>IFERROR(VLOOKUP($A69,'SCH F'!$C$15:$G$25,5,FALSE),"")</f>
        <v/>
      </c>
      <c r="F69" s="345"/>
    </row>
    <row r="70" spans="1:6" x14ac:dyDescent="0.3">
      <c r="A70" s="326" t="s">
        <v>327</v>
      </c>
      <c r="B70" s="328" t="s">
        <v>337</v>
      </c>
      <c r="C70" s="328" t="s">
        <v>46</v>
      </c>
      <c r="D70" s="345" t="str">
        <f>IFERROR(VLOOKUP($A70,'SCH F'!$C$15:$E$25,3,FALSE),"")</f>
        <v/>
      </c>
      <c r="E70" s="360" t="str">
        <f>IFERROR(VLOOKUP($A70,'SCH F'!$C$15:$G$25,5,FALSE),"")</f>
        <v/>
      </c>
      <c r="F70" s="345"/>
    </row>
    <row r="71" spans="1:6" x14ac:dyDescent="0.3">
      <c r="A71" s="327" t="s">
        <v>328</v>
      </c>
      <c r="B71" s="329" t="s">
        <v>333</v>
      </c>
      <c r="C71" s="329" t="s">
        <v>277</v>
      </c>
      <c r="D71" s="345" t="str">
        <f>IFERROR(VLOOKUP($A71,'SCH F'!$C$15:$E$25,3,FALSE),"")</f>
        <v/>
      </c>
      <c r="E71" s="360" t="str">
        <f>IFERROR(VLOOKUP($A71,'SCH F'!$C$15:$G$25,5,FALSE),"")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F'!$C$15:$E$25,3,FALSE),"")</f>
        <v/>
      </c>
      <c r="E72" s="360" t="str">
        <f>IFERROR(VLOOKUP($A72,'SCH F'!$C$15:$G$25,5,FALSE),"")</f>
        <v/>
      </c>
      <c r="F72" s="26" t="e">
        <f t="shared" si="6"/>
        <v>#VALUE!</v>
      </c>
    </row>
    <row r="73" spans="1:6" x14ac:dyDescent="0.3">
      <c r="A73" s="327" t="s">
        <v>330</v>
      </c>
      <c r="B73" s="329" t="s">
        <v>335</v>
      </c>
      <c r="C73" s="329" t="s">
        <v>277</v>
      </c>
      <c r="D73" s="345" t="str">
        <f>IFERROR(VLOOKUP($A73,'SCH F'!$C$15:$E$25,3,FALSE),"")</f>
        <v/>
      </c>
      <c r="E73" s="360" t="str">
        <f>IFERROR(VLOOKUP($A73,'SCH F'!$C$15:$G$25,5,FALSE),"")</f>
        <v/>
      </c>
      <c r="F73" s="26" t="e">
        <f t="shared" si="6"/>
        <v>#VALUE!</v>
      </c>
    </row>
    <row r="74" spans="1:6" x14ac:dyDescent="0.3">
      <c r="A74" s="326" t="s">
        <v>331</v>
      </c>
      <c r="B74" s="328" t="s">
        <v>336</v>
      </c>
      <c r="C74" s="328" t="s">
        <v>277</v>
      </c>
      <c r="D74" s="345" t="str">
        <f>IFERROR(VLOOKUP($A74,'SCH F'!$C$15:$E$25,3,FALSE),"")</f>
        <v/>
      </c>
      <c r="E74" s="360" t="str">
        <f>IFERROR(VLOOKUP($A74,'SCH F'!$C$15:$G$25,5,FALSE),"")</f>
        <v/>
      </c>
      <c r="F74" s="26" t="e">
        <f t="shared" si="6"/>
        <v>#VALUE!</v>
      </c>
    </row>
    <row r="75" spans="1:6" x14ac:dyDescent="0.3">
      <c r="A75" s="327" t="s">
        <v>332</v>
      </c>
      <c r="B75" s="329" t="s">
        <v>337</v>
      </c>
      <c r="C75" s="329" t="s">
        <v>277</v>
      </c>
      <c r="D75" s="345" t="str">
        <f>IFERROR(VLOOKUP($A75,'SCH F'!$C$15:$E$25,3,FALSE),"")</f>
        <v/>
      </c>
      <c r="E75" s="360" t="str">
        <f>IFERROR(VLOOKUP($A75,'SCH F'!$C$15:$G$25,5,FALSE),"")</f>
        <v/>
      </c>
      <c r="F75" s="26" t="e">
        <f t="shared" si="6"/>
        <v>#VALUE!</v>
      </c>
    </row>
    <row r="76" spans="1:6" x14ac:dyDescent="0.3">
      <c r="A76" s="326" t="s">
        <v>338</v>
      </c>
      <c r="B76" s="326" t="s">
        <v>350</v>
      </c>
      <c r="C76" s="326" t="s">
        <v>351</v>
      </c>
      <c r="D76" s="345" t="str">
        <f>IFERROR(VLOOKUP($A76,'SCH F'!$C$15:$E$25,3,FALSE),"")</f>
        <v/>
      </c>
      <c r="E76" s="360" t="str">
        <f>IFERROR(VLOOKUP($A76,'SCH F'!$C$15:$G$25,5,FALSE),"")</f>
        <v/>
      </c>
      <c r="F76" s="345"/>
    </row>
    <row r="77" spans="1:6" x14ac:dyDescent="0.3">
      <c r="A77" s="327" t="s">
        <v>339</v>
      </c>
      <c r="B77" s="327" t="s">
        <v>352</v>
      </c>
      <c r="C77" s="327" t="s">
        <v>351</v>
      </c>
      <c r="D77" s="345" t="str">
        <f>IFERROR(VLOOKUP($A77,'SCH F'!$C$15:$E$25,3,FALSE),"")</f>
        <v/>
      </c>
      <c r="E77" s="360" t="str">
        <f>IFERROR(VLOOKUP($A77,'SCH F'!$C$15:$G$25,5,FALSE),"")</f>
        <v/>
      </c>
      <c r="F77" s="345"/>
    </row>
    <row r="78" spans="1:6" x14ac:dyDescent="0.3">
      <c r="A78" s="326" t="s">
        <v>340</v>
      </c>
      <c r="B78" s="326" t="s">
        <v>353</v>
      </c>
      <c r="C78" s="326" t="s">
        <v>351</v>
      </c>
      <c r="D78" s="345" t="str">
        <f>IFERROR(VLOOKUP($A78,'SCH F'!$C$15:$E$25,3,FALSE),"")</f>
        <v/>
      </c>
      <c r="E78" s="360" t="str">
        <f>IFERROR(VLOOKUP($A78,'SCH F'!$C$15:$G$25,5,FALSE),"")</f>
        <v/>
      </c>
      <c r="F78" s="345"/>
    </row>
    <row r="79" spans="1:6" x14ac:dyDescent="0.3">
      <c r="A79" s="327" t="s">
        <v>341</v>
      </c>
      <c r="B79" s="327" t="s">
        <v>354</v>
      </c>
      <c r="C79" s="327" t="s">
        <v>351</v>
      </c>
      <c r="D79" s="345" t="str">
        <f>IFERROR(VLOOKUP($A79,'SCH F'!$C$15:$E$25,3,FALSE),"")</f>
        <v/>
      </c>
      <c r="E79" s="360" t="str">
        <f>IFERROR(VLOOKUP($A79,'SCH F'!$C$15:$G$25,5,FALSE),"")</f>
        <v/>
      </c>
      <c r="F79" s="345"/>
    </row>
    <row r="80" spans="1:6" x14ac:dyDescent="0.3">
      <c r="A80" s="326" t="s">
        <v>342</v>
      </c>
      <c r="B80" s="326" t="s">
        <v>350</v>
      </c>
      <c r="C80" s="326" t="s">
        <v>46</v>
      </c>
      <c r="D80" s="345" t="str">
        <f>IFERROR(VLOOKUP($A80,'SCH F'!$C$15:$E$25,3,FALSE),"")</f>
        <v/>
      </c>
      <c r="E80" s="360" t="str">
        <f>IFERROR(VLOOKUP($A80,'SCH F'!$C$15:$G$25,5,FALSE),"")</f>
        <v/>
      </c>
      <c r="F80" s="345"/>
    </row>
    <row r="81" spans="1:6" x14ac:dyDescent="0.3">
      <c r="A81" s="327" t="s">
        <v>343</v>
      </c>
      <c r="B81" s="334" t="s">
        <v>352</v>
      </c>
      <c r="C81" s="327" t="s">
        <v>46</v>
      </c>
      <c r="D81" s="345" t="str">
        <f>IFERROR(VLOOKUP($A81,'SCH F'!$C$15:$E$25,3,FALSE),"")</f>
        <v/>
      </c>
      <c r="E81" s="360" t="str">
        <f>IFERROR(VLOOKUP($A81,'SCH F'!$C$15:$G$25,5,FALSE),"")</f>
        <v/>
      </c>
      <c r="F81" s="345"/>
    </row>
    <row r="82" spans="1:6" ht="27.6" x14ac:dyDescent="0.3">
      <c r="A82" s="326" t="s">
        <v>344</v>
      </c>
      <c r="B82" s="335" t="s">
        <v>353</v>
      </c>
      <c r="C82" s="326" t="s">
        <v>46</v>
      </c>
      <c r="D82" s="345" t="str">
        <f>IFERROR(VLOOKUP($A82,'SCH F'!$C$15:$E$25,3,FALSE),"")</f>
        <v/>
      </c>
      <c r="E82" s="360" t="str">
        <f>IFERROR(VLOOKUP($A82,'SCH F'!$C$15:$G$25,5,FALSE),"")</f>
        <v/>
      </c>
      <c r="F82" s="345"/>
    </row>
    <row r="83" spans="1:6" ht="27.6" x14ac:dyDescent="0.3">
      <c r="A83" s="327" t="s">
        <v>345</v>
      </c>
      <c r="B83" s="334" t="s">
        <v>354</v>
      </c>
      <c r="C83" s="327" t="s">
        <v>46</v>
      </c>
      <c r="D83" s="345" t="str">
        <f>IFERROR(VLOOKUP($A83,'SCH F'!$C$15:$E$25,3,FALSE),"")</f>
        <v/>
      </c>
      <c r="E83" s="360" t="str">
        <f>IFERROR(VLOOKUP($A83,'SCH F'!$C$15:$G$25,5,FALSE),"")</f>
        <v/>
      </c>
      <c r="F83" s="345"/>
    </row>
    <row r="84" spans="1:6" x14ac:dyDescent="0.3">
      <c r="A84" s="326" t="s">
        <v>346</v>
      </c>
      <c r="B84" s="326" t="s">
        <v>350</v>
      </c>
      <c r="C84" s="326" t="s">
        <v>247</v>
      </c>
      <c r="D84" s="345" t="str">
        <f>IFERROR(VLOOKUP($A84,'SCH F'!$C$15:$E$25,3,FALSE),"")</f>
        <v/>
      </c>
      <c r="E84" s="360" t="str">
        <f>IFERROR(VLOOKUP($A84,'SCH F'!$C$15:$G$25,5,FALSE),"")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F'!$C$15:$E$25,3,FALSE),"")</f>
        <v/>
      </c>
      <c r="E85" s="360" t="str">
        <f>IFERROR(VLOOKUP($A85,'SCH F'!$C$15:$G$25,5,FALSE),"")</f>
        <v/>
      </c>
      <c r="F85" s="26" t="e">
        <f t="shared" si="7"/>
        <v>#VALUE!</v>
      </c>
    </row>
    <row r="86" spans="1:6" x14ac:dyDescent="0.3">
      <c r="A86" s="326" t="s">
        <v>348</v>
      </c>
      <c r="B86" s="326" t="s">
        <v>353</v>
      </c>
      <c r="C86" s="326" t="s">
        <v>247</v>
      </c>
      <c r="D86" s="345" t="str">
        <f>IFERROR(VLOOKUP($A86,'SCH F'!$C$15:$E$25,3,FALSE),"")</f>
        <v/>
      </c>
      <c r="E86" s="360" t="str">
        <f>IFERROR(VLOOKUP($A86,'SCH F'!$C$15:$G$25,5,FALSE),"")</f>
        <v/>
      </c>
      <c r="F86" s="26" t="e">
        <f t="shared" si="7"/>
        <v>#VALUE!</v>
      </c>
    </row>
    <row r="87" spans="1:6" x14ac:dyDescent="0.3">
      <c r="A87" s="327" t="s">
        <v>349</v>
      </c>
      <c r="B87" s="327" t="s">
        <v>354</v>
      </c>
      <c r="C87" s="327" t="s">
        <v>247</v>
      </c>
      <c r="D87" s="345" t="str">
        <f>IFERROR(VLOOKUP($A87,'SCH F'!$C$15:$E$25,3,FALSE),"")</f>
        <v/>
      </c>
      <c r="E87" s="360" t="str">
        <f>IFERROR(VLOOKUP($A87,'SCH F'!$C$15:$G$25,5,FALSE),"")</f>
        <v/>
      </c>
      <c r="F87" s="26" t="e">
        <f t="shared" si="7"/>
        <v>#VALUE!</v>
      </c>
    </row>
    <row r="88" spans="1:6" x14ac:dyDescent="0.3">
      <c r="A88" s="326" t="s">
        <v>355</v>
      </c>
      <c r="B88" s="326" t="s">
        <v>356</v>
      </c>
      <c r="C88" s="328" t="s">
        <v>247</v>
      </c>
      <c r="D88" s="345" t="str">
        <f>IFERROR(VLOOKUP($A88,'SCH F'!$C$15:$E$25,3,FALSE),"")</f>
        <v/>
      </c>
      <c r="E88" s="360" t="str">
        <f>IFERROR(VLOOKUP($A88,'SCH F'!$C$15:$G$25,5,FALSE),"")</f>
        <v/>
      </c>
      <c r="F88" s="345"/>
    </row>
    <row r="89" spans="1:6" x14ac:dyDescent="0.3">
      <c r="A89" s="327" t="s">
        <v>357</v>
      </c>
      <c r="B89" s="327" t="s">
        <v>304</v>
      </c>
      <c r="C89" s="327" t="s">
        <v>247</v>
      </c>
      <c r="D89" s="345" t="str">
        <f>IFERROR(VLOOKUP($A89,'SCH F'!$C$15:$E$25,3,FALSE),"")</f>
        <v/>
      </c>
      <c r="E89" s="360" t="str">
        <f>IFERROR(VLOOKUP($A89,'SCH F'!$C$15:$G$25,5,FALSE),"")</f>
        <v/>
      </c>
      <c r="F89" s="26" t="e">
        <f>IF((D89&gt;=1575),ROUND(E89*0.01,2),"-")</f>
        <v>#VALUE!</v>
      </c>
    </row>
    <row r="90" spans="1:6" x14ac:dyDescent="0.3">
      <c r="A90" s="326" t="s">
        <v>358</v>
      </c>
      <c r="B90" s="326" t="s">
        <v>305</v>
      </c>
      <c r="C90" s="326" t="s">
        <v>247</v>
      </c>
      <c r="D90" s="345" t="str">
        <f>IFERROR(VLOOKUP($A90,'SCH F'!$C$15:$E$25,3,FALSE),"")</f>
        <v/>
      </c>
      <c r="E90" s="360" t="str">
        <f>IFERROR(VLOOKUP($A90,'SCH F'!$C$15:$G$25,5,FALSE),"")</f>
        <v/>
      </c>
      <c r="F90" s="26" t="e">
        <f>IF((D90&gt;=1050),ROUND(E90*0.01,2),"-")</f>
        <v>#VALUE!</v>
      </c>
    </row>
    <row r="91" spans="1:6" x14ac:dyDescent="0.3">
      <c r="A91" s="327" t="s">
        <v>359</v>
      </c>
      <c r="B91" s="327" t="s">
        <v>306</v>
      </c>
      <c r="C91" s="327" t="s">
        <v>247</v>
      </c>
      <c r="D91" s="345" t="str">
        <f>IFERROR(VLOOKUP($A91,'SCH F'!$C$15:$E$25,3,FALSE),"")</f>
        <v/>
      </c>
      <c r="E91" s="360" t="str">
        <f>IFERROR(VLOOKUP($A91,'SCH F'!$C$15:$G$25,5,FALSE),"")</f>
        <v/>
      </c>
      <c r="F91" s="26" t="e">
        <f>IF((D91&gt;=787.5),ROUND(E91*0.01,2),"-")</f>
        <v>#VALUE!</v>
      </c>
    </row>
    <row r="92" spans="1:6" x14ac:dyDescent="0.3">
      <c r="A92" s="326" t="s">
        <v>360</v>
      </c>
      <c r="B92" s="326" t="s">
        <v>307</v>
      </c>
      <c r="C92" s="326" t="s">
        <v>247</v>
      </c>
      <c r="D92" s="345" t="str">
        <f>IFERROR(VLOOKUP($A92,'SCH F'!$C$15:$E$25,3,FALSE),"")</f>
        <v/>
      </c>
      <c r="E92" s="360" t="str">
        <f>IFERROR(VLOOKUP($A92,'SCH F'!$C$15:$G$25,5,FALSE),"")</f>
        <v/>
      </c>
      <c r="F92" s="26" t="e">
        <f>IF((D92&gt;=393.75),ROUND(E92*0.01,2),"-")</f>
        <v>#VALUE!</v>
      </c>
    </row>
    <row r="93" spans="1:6" x14ac:dyDescent="0.3">
      <c r="A93" s="327" t="s">
        <v>361</v>
      </c>
      <c r="B93" s="327" t="s">
        <v>367</v>
      </c>
      <c r="C93" s="327" t="s">
        <v>247</v>
      </c>
      <c r="D93" s="345" t="str">
        <f>IFERROR(VLOOKUP($A93,'SCH F'!$C$15:$E$25,3,FALSE),"")</f>
        <v/>
      </c>
      <c r="E93" s="360" t="str">
        <f>IFERROR(VLOOKUP($A93,'SCH F'!$C$15:$G$25,5,FALSE),"")</f>
        <v/>
      </c>
      <c r="F93" s="26" t="e">
        <f>IF((D93&gt;=(1575*2)),ROUND(E93*0.01,2),"-")</f>
        <v>#VALUE!</v>
      </c>
    </row>
    <row r="94" spans="1:6" x14ac:dyDescent="0.3">
      <c r="A94" s="326" t="s">
        <v>362</v>
      </c>
      <c r="B94" s="326" t="s">
        <v>368</v>
      </c>
      <c r="C94" s="326" t="s">
        <v>247</v>
      </c>
      <c r="D94" s="345" t="str">
        <f>IFERROR(VLOOKUP($A94,'SCH F'!$C$15:$E$25,3,FALSE),"")</f>
        <v/>
      </c>
      <c r="E94" s="360" t="str">
        <f>IFERROR(VLOOKUP($A94,'SCH F'!$C$15:$G$25,5,FALSE),"")</f>
        <v/>
      </c>
      <c r="F94" s="26" t="e">
        <f>IF((D94&gt;=(787.5*2)),ROUND(E94*0.01,2),"-")</f>
        <v>#VALUE!</v>
      </c>
    </row>
    <row r="95" spans="1:6" x14ac:dyDescent="0.3">
      <c r="A95" s="327" t="s">
        <v>363</v>
      </c>
      <c r="B95" s="327" t="s">
        <v>369</v>
      </c>
      <c r="C95" s="327" t="s">
        <v>247</v>
      </c>
      <c r="D95" s="345" t="str">
        <f>IFERROR(VLOOKUP($A95,'SCH F'!$C$15:$E$25,3,FALSE),"")</f>
        <v/>
      </c>
      <c r="E95" s="360" t="str">
        <f>IFERROR(VLOOKUP($A95,'SCH F'!$C$15:$G$25,5,FALSE),"")</f>
        <v/>
      </c>
      <c r="F95" s="26" t="e">
        <f>IF((D95&gt;=(1050*2)),ROUND(E95*0.01,2),"-")</f>
        <v>#VALUE!</v>
      </c>
    </row>
    <row r="96" spans="1:6" x14ac:dyDescent="0.3">
      <c r="A96" s="326" t="s">
        <v>364</v>
      </c>
      <c r="B96" s="326" t="s">
        <v>370</v>
      </c>
      <c r="C96" s="326" t="s">
        <v>247</v>
      </c>
      <c r="D96" s="345" t="str">
        <f>IFERROR(VLOOKUP($A96,'SCH F'!$C$15:$E$25,3,FALSE),"")</f>
        <v/>
      </c>
      <c r="E96" s="360" t="str">
        <f>IFERROR(VLOOKUP($A96,'SCH F'!$C$15:$G$25,5,FALSE),"")</f>
        <v/>
      </c>
      <c r="F96" s="26" t="e">
        <f>IF((D96&gt;=(787.5*2)),ROUND(E96*0.01,2),"-")</f>
        <v>#VALUE!</v>
      </c>
    </row>
    <row r="97" spans="1:6" x14ac:dyDescent="0.3">
      <c r="A97" s="327" t="s">
        <v>365</v>
      </c>
      <c r="B97" s="327" t="s">
        <v>371</v>
      </c>
      <c r="C97" s="327" t="s">
        <v>247</v>
      </c>
      <c r="D97" s="345" t="str">
        <f>IFERROR(VLOOKUP($A97,'SCH F'!$C$15:$E$25,3,FALSE),"")</f>
        <v/>
      </c>
      <c r="E97" s="360" t="str">
        <f>IFERROR(VLOOKUP($A97,'SCH F'!$C$15:$G$25,5,FALSE),"")</f>
        <v/>
      </c>
      <c r="F97" s="26" t="e">
        <f>IF((D97&gt;=(787.5*2)),ROUND(E97*0.01,2),"-")</f>
        <v>#VALUE!</v>
      </c>
    </row>
    <row r="98" spans="1:6" x14ac:dyDescent="0.3">
      <c r="A98" s="326" t="s">
        <v>366</v>
      </c>
      <c r="B98" s="326" t="s">
        <v>372</v>
      </c>
      <c r="C98" s="326" t="s">
        <v>247</v>
      </c>
      <c r="D98" s="345" t="str">
        <f>IFERROR(VLOOKUP($A98,'SCH F'!$C$15:$E$25,3,FALSE),"")</f>
        <v/>
      </c>
      <c r="E98" s="360" t="str">
        <f>IFERROR(VLOOKUP($A98,'SCH F'!$C$15:$G$25,5,FALSE),"")</f>
        <v/>
      </c>
      <c r="F98" s="26" t="e">
        <f>IF((D98&gt;=(393.75*2)),ROUND(E98*0.01,2),"-")</f>
        <v>#VALUE!</v>
      </c>
    </row>
    <row r="99" spans="1:6" x14ac:dyDescent="0.3">
      <c r="A99" s="327" t="s">
        <v>297</v>
      </c>
      <c r="B99" s="327" t="s">
        <v>304</v>
      </c>
      <c r="C99" s="327" t="s">
        <v>46</v>
      </c>
      <c r="D99" s="345" t="str">
        <f>IFERROR(VLOOKUP($A99,'SCH F'!$C$15:$E$25,3,FALSE),"")</f>
        <v/>
      </c>
      <c r="E99" s="360" t="str">
        <f>IFERROR(VLOOKUP($A99,'SCH F'!$C$15:$G$25,5,FALSE),"")</f>
        <v/>
      </c>
      <c r="F99" s="26" t="e">
        <f>IF((D99&gt;=40000),ROUND(E99*0.05,2),"-")</f>
        <v>#VALUE!</v>
      </c>
    </row>
    <row r="100" spans="1:6" x14ac:dyDescent="0.3">
      <c r="A100" s="326" t="s">
        <v>298</v>
      </c>
      <c r="B100" s="326" t="s">
        <v>305</v>
      </c>
      <c r="C100" s="326" t="s">
        <v>46</v>
      </c>
      <c r="D100" s="345" t="str">
        <f>IFERROR(VLOOKUP($A100,'SCH F'!$C$15:$E$25,3,FALSE),"")</f>
        <v/>
      </c>
      <c r="E100" s="360" t="str">
        <f>IFERROR(VLOOKUP($A100,'SCH F'!$C$15:$G$25,5,FALSE),"")</f>
        <v/>
      </c>
      <c r="F100" s="26" t="e">
        <f t="shared" ref="F100:F105" si="8">IF((D100&gt;=40000),ROUND(E100*0.05,2),"-")</f>
        <v>#VALUE!</v>
      </c>
    </row>
    <row r="101" spans="1:6" x14ac:dyDescent="0.3">
      <c r="A101" s="327" t="s">
        <v>299</v>
      </c>
      <c r="B101" s="327" t="s">
        <v>306</v>
      </c>
      <c r="C101" s="327" t="s">
        <v>46</v>
      </c>
      <c r="D101" s="345" t="str">
        <f>IFERROR(VLOOKUP($A101,'SCH F'!$C$15:$E$25,3,FALSE),"")</f>
        <v/>
      </c>
      <c r="E101" s="360" t="str">
        <f>IFERROR(VLOOKUP($A101,'SCH F'!$C$15:$G$25,5,FALSE),"")</f>
        <v/>
      </c>
      <c r="F101" s="26" t="e">
        <f t="shared" si="8"/>
        <v>#VALUE!</v>
      </c>
    </row>
    <row r="102" spans="1:6" x14ac:dyDescent="0.3">
      <c r="A102" s="326" t="s">
        <v>300</v>
      </c>
      <c r="B102" s="326" t="s">
        <v>307</v>
      </c>
      <c r="C102" s="326" t="s">
        <v>46</v>
      </c>
      <c r="D102" s="345" t="str">
        <f>IFERROR(VLOOKUP($A102,'SCH F'!$C$15:$E$25,3,FALSE),"")</f>
        <v/>
      </c>
      <c r="E102" s="360" t="str">
        <f>IFERROR(VLOOKUP($A102,'SCH F'!$C$15:$G$25,5,FALSE),"")</f>
        <v/>
      </c>
      <c r="F102" s="26" t="e">
        <f t="shared" si="8"/>
        <v>#VALUE!</v>
      </c>
    </row>
    <row r="103" spans="1:6" x14ac:dyDescent="0.3">
      <c r="A103" s="327" t="s">
        <v>301</v>
      </c>
      <c r="B103" s="327" t="s">
        <v>308</v>
      </c>
      <c r="C103" s="327" t="s">
        <v>46</v>
      </c>
      <c r="D103" s="345" t="str">
        <f>IFERROR(VLOOKUP($A103,'SCH F'!$C$15:$E$25,3,FALSE),"")</f>
        <v/>
      </c>
      <c r="E103" s="360" t="str">
        <f>IFERROR(VLOOKUP($A103,'SCH F'!$C$15:$G$25,5,FALSE),"")</f>
        <v/>
      </c>
      <c r="F103" s="26" t="e">
        <f t="shared" si="8"/>
        <v>#VALUE!</v>
      </c>
    </row>
    <row r="104" spans="1:6" x14ac:dyDescent="0.3">
      <c r="A104" s="326" t="s">
        <v>302</v>
      </c>
      <c r="B104" s="326" t="s">
        <v>309</v>
      </c>
      <c r="C104" s="326" t="s">
        <v>46</v>
      </c>
      <c r="D104" s="345" t="str">
        <f>IFERROR(VLOOKUP($A104,'SCH F'!$C$15:$E$25,3,FALSE),"")</f>
        <v/>
      </c>
      <c r="E104" s="360" t="str">
        <f>IFERROR(VLOOKUP($A104,'SCH F'!$C$15:$G$25,5,FALSE),"")</f>
        <v/>
      </c>
      <c r="F104" s="26" t="e">
        <f t="shared" si="8"/>
        <v>#VALUE!</v>
      </c>
    </row>
    <row r="105" spans="1:6" x14ac:dyDescent="0.3">
      <c r="A105" s="327" t="s">
        <v>303</v>
      </c>
      <c r="B105" s="327" t="s">
        <v>310</v>
      </c>
      <c r="C105" s="327" t="s">
        <v>46</v>
      </c>
      <c r="D105" s="345" t="str">
        <f>IFERROR(VLOOKUP($A105,'SCH F'!$C$15:$E$25,3,FALSE),"")</f>
        <v/>
      </c>
      <c r="E105" s="360" t="str">
        <f>IFERROR(VLOOKUP($A105,'SCH F'!$C$15:$G$25,5,FALSE),"")</f>
        <v/>
      </c>
      <c r="F105" s="26" t="e">
        <f t="shared" si="8"/>
        <v>#VALUE!</v>
      </c>
    </row>
    <row r="106" spans="1:6" hidden="1" x14ac:dyDescent="0.3">
      <c r="A106" s="337" t="s">
        <v>373</v>
      </c>
      <c r="B106" s="338" t="s">
        <v>394</v>
      </c>
      <c r="C106" s="339" t="s">
        <v>247</v>
      </c>
    </row>
    <row r="107" spans="1:6" hidden="1" x14ac:dyDescent="0.3">
      <c r="A107" s="327" t="s">
        <v>374</v>
      </c>
      <c r="B107" s="327" t="s">
        <v>395</v>
      </c>
      <c r="C107" s="329" t="s">
        <v>247</v>
      </c>
    </row>
    <row r="108" spans="1:6" hidden="1" x14ac:dyDescent="0.3">
      <c r="A108" s="326" t="s">
        <v>375</v>
      </c>
      <c r="B108" s="326" t="s">
        <v>396</v>
      </c>
      <c r="C108" s="328" t="s">
        <v>247</v>
      </c>
    </row>
    <row r="109" spans="1:6" hidden="1" x14ac:dyDescent="0.3">
      <c r="A109" s="327" t="s">
        <v>376</v>
      </c>
      <c r="B109" s="327" t="s">
        <v>397</v>
      </c>
      <c r="C109" s="329" t="s">
        <v>247</v>
      </c>
    </row>
    <row r="110" spans="1:6" hidden="1" x14ac:dyDescent="0.3">
      <c r="A110" s="326" t="s">
        <v>377</v>
      </c>
      <c r="B110" s="326" t="s">
        <v>398</v>
      </c>
      <c r="C110" s="328" t="s">
        <v>247</v>
      </c>
    </row>
    <row r="111" spans="1:6" hidden="1" x14ac:dyDescent="0.3">
      <c r="A111" s="327" t="s">
        <v>378</v>
      </c>
      <c r="B111" s="327" t="s">
        <v>399</v>
      </c>
      <c r="C111" s="329" t="s">
        <v>247</v>
      </c>
    </row>
    <row r="112" spans="1:6" hidden="1" x14ac:dyDescent="0.3">
      <c r="A112" s="326" t="s">
        <v>379</v>
      </c>
      <c r="B112" s="326" t="s">
        <v>400</v>
      </c>
      <c r="C112" s="328" t="s">
        <v>247</v>
      </c>
    </row>
    <row r="113" spans="1:3" hidden="1" x14ac:dyDescent="0.3">
      <c r="A113" s="327" t="s">
        <v>380</v>
      </c>
      <c r="B113" s="327" t="s">
        <v>401</v>
      </c>
      <c r="C113" s="329" t="s">
        <v>247</v>
      </c>
    </row>
    <row r="114" spans="1:3" hidden="1" x14ac:dyDescent="0.3">
      <c r="A114" s="326" t="s">
        <v>381</v>
      </c>
      <c r="B114" s="326" t="s">
        <v>402</v>
      </c>
      <c r="C114" s="328" t="s">
        <v>247</v>
      </c>
    </row>
    <row r="115" spans="1:3" hidden="1" x14ac:dyDescent="0.3">
      <c r="A115" s="327" t="s">
        <v>382</v>
      </c>
      <c r="B115" s="327" t="s">
        <v>403</v>
      </c>
      <c r="C115" s="329" t="s">
        <v>247</v>
      </c>
    </row>
    <row r="116" spans="1:3" hidden="1" x14ac:dyDescent="0.3">
      <c r="A116" s="326" t="s">
        <v>383</v>
      </c>
      <c r="B116" s="326" t="s">
        <v>404</v>
      </c>
      <c r="C116" s="328" t="s">
        <v>247</v>
      </c>
    </row>
    <row r="117" spans="1:3" hidden="1" x14ac:dyDescent="0.3">
      <c r="A117" s="327" t="s">
        <v>384</v>
      </c>
      <c r="B117" s="327" t="s">
        <v>405</v>
      </c>
      <c r="C117" s="329" t="s">
        <v>247</v>
      </c>
    </row>
    <row r="118" spans="1:3" hidden="1" x14ac:dyDescent="0.3">
      <c r="A118" s="326" t="s">
        <v>385</v>
      </c>
      <c r="B118" s="326" t="s">
        <v>406</v>
      </c>
      <c r="C118" s="328" t="s">
        <v>247</v>
      </c>
    </row>
    <row r="119" spans="1:3" hidden="1" x14ac:dyDescent="0.3">
      <c r="A119" s="327" t="s">
        <v>386</v>
      </c>
      <c r="B119" s="327" t="s">
        <v>407</v>
      </c>
      <c r="C119" s="329" t="s">
        <v>247</v>
      </c>
    </row>
    <row r="120" spans="1:3" hidden="1" x14ac:dyDescent="0.3">
      <c r="A120" s="326" t="s">
        <v>387</v>
      </c>
      <c r="B120" s="326" t="s">
        <v>408</v>
      </c>
      <c r="C120" s="328" t="s">
        <v>247</v>
      </c>
    </row>
    <row r="121" spans="1:3" hidden="1" x14ac:dyDescent="0.3">
      <c r="A121" s="327" t="s">
        <v>388</v>
      </c>
      <c r="B121" s="327" t="s">
        <v>409</v>
      </c>
      <c r="C121" s="329" t="s">
        <v>247</v>
      </c>
    </row>
    <row r="122" spans="1:3" hidden="1" x14ac:dyDescent="0.3">
      <c r="A122" s="326" t="s">
        <v>389</v>
      </c>
      <c r="B122" s="326" t="s">
        <v>410</v>
      </c>
      <c r="C122" s="328" t="s">
        <v>247</v>
      </c>
    </row>
    <row r="123" spans="1:3" hidden="1" x14ac:dyDescent="0.3">
      <c r="A123" s="327" t="s">
        <v>390</v>
      </c>
      <c r="B123" s="327" t="s">
        <v>411</v>
      </c>
      <c r="C123" s="329" t="s">
        <v>247</v>
      </c>
    </row>
    <row r="124" spans="1:3" hidden="1" x14ac:dyDescent="0.3">
      <c r="A124" s="326" t="s">
        <v>391</v>
      </c>
      <c r="B124" s="326" t="s">
        <v>412</v>
      </c>
      <c r="C124" s="328" t="s">
        <v>247</v>
      </c>
    </row>
    <row r="125" spans="1:3" hidden="1" x14ac:dyDescent="0.3">
      <c r="A125" s="327" t="s">
        <v>392</v>
      </c>
      <c r="B125" s="327" t="s">
        <v>413</v>
      </c>
      <c r="C125" s="329" t="s">
        <v>247</v>
      </c>
    </row>
    <row r="126" spans="1:3" hidden="1" x14ac:dyDescent="0.3">
      <c r="A126" s="326" t="s">
        <v>393</v>
      </c>
      <c r="B126" s="326" t="s">
        <v>414</v>
      </c>
      <c r="C126" s="328" t="s">
        <v>247</v>
      </c>
    </row>
    <row r="127" spans="1:3" hidden="1" x14ac:dyDescent="0.3">
      <c r="A127" s="327" t="s">
        <v>415</v>
      </c>
      <c r="B127" s="327" t="s">
        <v>423</v>
      </c>
      <c r="C127" s="327" t="s">
        <v>247</v>
      </c>
    </row>
    <row r="128" spans="1:3" hidden="1" x14ac:dyDescent="0.3">
      <c r="A128" s="326" t="s">
        <v>416</v>
      </c>
      <c r="B128" s="326" t="s">
        <v>424</v>
      </c>
      <c r="C128" s="326" t="s">
        <v>247</v>
      </c>
    </row>
    <row r="129" spans="1:3" hidden="1" x14ac:dyDescent="0.3">
      <c r="A129" s="327" t="s">
        <v>417</v>
      </c>
      <c r="B129" s="327" t="s">
        <v>425</v>
      </c>
      <c r="C129" s="327" t="s">
        <v>247</v>
      </c>
    </row>
    <row r="130" spans="1:3" hidden="1" x14ac:dyDescent="0.3">
      <c r="A130" s="326" t="s">
        <v>418</v>
      </c>
      <c r="B130" s="326" t="s">
        <v>426</v>
      </c>
      <c r="C130" s="326" t="s">
        <v>247</v>
      </c>
    </row>
    <row r="131" spans="1:3" hidden="1" x14ac:dyDescent="0.3">
      <c r="A131" s="327" t="s">
        <v>419</v>
      </c>
      <c r="B131" s="327" t="s">
        <v>427</v>
      </c>
      <c r="C131" s="327" t="s">
        <v>247</v>
      </c>
    </row>
    <row r="132" spans="1:3" hidden="1" x14ac:dyDescent="0.3">
      <c r="A132" s="326" t="s">
        <v>420</v>
      </c>
      <c r="B132" s="326" t="s">
        <v>428</v>
      </c>
      <c r="C132" s="326" t="s">
        <v>247</v>
      </c>
    </row>
    <row r="133" spans="1:3" hidden="1" x14ac:dyDescent="0.3">
      <c r="A133" s="327" t="s">
        <v>421</v>
      </c>
      <c r="B133" s="327" t="s">
        <v>429</v>
      </c>
      <c r="C133" s="327" t="s">
        <v>247</v>
      </c>
    </row>
    <row r="134" spans="1:3" hidden="1" x14ac:dyDescent="0.3">
      <c r="A134" s="326" t="s">
        <v>422</v>
      </c>
      <c r="B134" s="326" t="s">
        <v>430</v>
      </c>
      <c r="C134" s="326" t="s">
        <v>247</v>
      </c>
    </row>
    <row r="135" spans="1:3" ht="27.6" hidden="1" x14ac:dyDescent="0.3">
      <c r="A135" s="337" t="s">
        <v>373</v>
      </c>
      <c r="B135" s="343" t="s">
        <v>394</v>
      </c>
      <c r="C135" s="339" t="s">
        <v>247</v>
      </c>
    </row>
    <row r="136" spans="1:3" ht="27.6" hidden="1" x14ac:dyDescent="0.3">
      <c r="A136" s="327" t="s">
        <v>374</v>
      </c>
      <c r="B136" s="334" t="s">
        <v>395</v>
      </c>
      <c r="C136" s="329" t="s">
        <v>247</v>
      </c>
    </row>
    <row r="137" spans="1:3" ht="27.6" hidden="1" x14ac:dyDescent="0.3">
      <c r="A137" s="326" t="s">
        <v>375</v>
      </c>
      <c r="B137" s="335" t="s">
        <v>396</v>
      </c>
      <c r="C137" s="328" t="s">
        <v>247</v>
      </c>
    </row>
    <row r="138" spans="1:3" ht="27.6" hidden="1" x14ac:dyDescent="0.3">
      <c r="A138" s="327" t="s">
        <v>376</v>
      </c>
      <c r="B138" s="334" t="s">
        <v>397</v>
      </c>
      <c r="C138" s="329" t="s">
        <v>247</v>
      </c>
    </row>
    <row r="139" spans="1:3" ht="27.6" hidden="1" x14ac:dyDescent="0.3">
      <c r="A139" s="326" t="s">
        <v>377</v>
      </c>
      <c r="B139" s="335" t="s">
        <v>398</v>
      </c>
      <c r="C139" s="328" t="s">
        <v>247</v>
      </c>
    </row>
    <row r="140" spans="1:3" ht="27.6" hidden="1" x14ac:dyDescent="0.3">
      <c r="A140" s="327" t="s">
        <v>378</v>
      </c>
      <c r="B140" s="334" t="s">
        <v>399</v>
      </c>
      <c r="C140" s="329" t="s">
        <v>247</v>
      </c>
    </row>
    <row r="141" spans="1:3" ht="27.6" hidden="1" x14ac:dyDescent="0.3">
      <c r="A141" s="326" t="s">
        <v>379</v>
      </c>
      <c r="B141" s="335" t="s">
        <v>400</v>
      </c>
      <c r="C141" s="328" t="s">
        <v>247</v>
      </c>
    </row>
    <row r="142" spans="1:3" ht="27.6" hidden="1" x14ac:dyDescent="0.3">
      <c r="A142" s="327" t="s">
        <v>386</v>
      </c>
      <c r="B142" s="334" t="s">
        <v>407</v>
      </c>
      <c r="C142" s="329" t="s">
        <v>247</v>
      </c>
    </row>
    <row r="143" spans="1:3" ht="27.6" hidden="1" x14ac:dyDescent="0.3">
      <c r="A143" s="326" t="s">
        <v>387</v>
      </c>
      <c r="B143" s="335" t="s">
        <v>408</v>
      </c>
      <c r="C143" s="328" t="s">
        <v>247</v>
      </c>
    </row>
    <row r="144" spans="1:3" ht="27.6" hidden="1" x14ac:dyDescent="0.3">
      <c r="A144" s="327" t="s">
        <v>388</v>
      </c>
      <c r="B144" s="334" t="s">
        <v>409</v>
      </c>
      <c r="C144" s="329" t="s">
        <v>247</v>
      </c>
    </row>
    <row r="145" spans="1:3" hidden="1" x14ac:dyDescent="0.3">
      <c r="A145" s="327" t="s">
        <v>415</v>
      </c>
      <c r="B145" s="327" t="s">
        <v>423</v>
      </c>
      <c r="C145" s="327" t="s">
        <v>247</v>
      </c>
    </row>
    <row r="146" spans="1:3" hidden="1" x14ac:dyDescent="0.3">
      <c r="A146" s="326" t="s">
        <v>416</v>
      </c>
      <c r="B146" s="326" t="s">
        <v>424</v>
      </c>
      <c r="C146" s="326" t="s">
        <v>247</v>
      </c>
    </row>
    <row r="147" spans="1:3" hidden="1" x14ac:dyDescent="0.3">
      <c r="A147" s="327" t="s">
        <v>417</v>
      </c>
      <c r="B147" s="327" t="s">
        <v>425</v>
      </c>
      <c r="C147" s="327" t="s">
        <v>247</v>
      </c>
    </row>
    <row r="148" spans="1:3" hidden="1" x14ac:dyDescent="0.3">
      <c r="A148" s="326" t="s">
        <v>418</v>
      </c>
      <c r="B148" s="326" t="s">
        <v>426</v>
      </c>
      <c r="C148" s="326" t="s">
        <v>247</v>
      </c>
    </row>
    <row r="149" spans="1:3" hidden="1" x14ac:dyDescent="0.3">
      <c r="A149" s="327" t="s">
        <v>419</v>
      </c>
      <c r="B149" s="327" t="s">
        <v>427</v>
      </c>
      <c r="C149" s="327" t="s">
        <v>247</v>
      </c>
    </row>
    <row r="150" spans="1:3" hidden="1" x14ac:dyDescent="0.3">
      <c r="A150" s="326" t="s">
        <v>420</v>
      </c>
      <c r="B150" s="326" t="s">
        <v>428</v>
      </c>
      <c r="C150" s="326" t="s">
        <v>247</v>
      </c>
    </row>
  </sheetData>
  <pageMargins left="0.7" right="0.7" top="0.75" bottom="0.75" header="0.3" footer="0.3"/>
  <pageSetup orientation="portrait" horizontalDpi="1200"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J43"/>
  <sheetViews>
    <sheetView zoomScaleNormal="100" workbookViewId="0">
      <selection activeCell="M28" sqref="M28"/>
    </sheetView>
  </sheetViews>
  <sheetFormatPr defaultRowHeight="14.4" x14ac:dyDescent="0.3"/>
  <cols>
    <col min="1" max="1" width="1.44140625" customWidth="1"/>
    <col min="2" max="2" width="14.109375" customWidth="1"/>
    <col min="3" max="3" width="26.6640625" customWidth="1"/>
    <col min="4" max="10" width="14.6640625" customWidth="1"/>
  </cols>
  <sheetData>
    <row r="1" spans="2:10" ht="6" customHeight="1" x14ac:dyDescent="0.3"/>
    <row r="2" spans="2:10" ht="15" customHeight="1" x14ac:dyDescent="0.3">
      <c r="B2" s="388" t="s">
        <v>165</v>
      </c>
      <c r="C2" s="388"/>
      <c r="D2" s="388"/>
      <c r="E2" s="388"/>
      <c r="F2" s="388"/>
      <c r="G2" s="388"/>
      <c r="H2" s="388"/>
      <c r="I2" s="388"/>
    </row>
    <row r="3" spans="2:10" ht="15" customHeight="1" x14ac:dyDescent="0.3">
      <c r="B3" s="7"/>
      <c r="C3" s="7"/>
      <c r="E3" s="11" t="s">
        <v>14</v>
      </c>
      <c r="F3" s="268" t="str">
        <f>+'SCH A'!E3</f>
        <v>FP-14</v>
      </c>
      <c r="G3" s="9"/>
      <c r="H3" s="9"/>
      <c r="I3" s="9"/>
    </row>
    <row r="4" spans="2:10" ht="15" customHeight="1" x14ac:dyDescent="0.3">
      <c r="B4" s="7"/>
      <c r="C4" s="7"/>
      <c r="D4" s="7"/>
      <c r="E4" s="10"/>
      <c r="F4" s="8"/>
      <c r="G4" s="9"/>
      <c r="H4" s="9"/>
      <c r="I4" s="9"/>
    </row>
    <row r="5" spans="2:10" ht="15" customHeight="1" x14ac:dyDescent="0.3">
      <c r="B5" s="11" t="s">
        <v>2</v>
      </c>
      <c r="C5" s="251">
        <f>+'SCH A'!C5</f>
        <v>0</v>
      </c>
      <c r="D5" s="251"/>
      <c r="E5" s="12"/>
      <c r="F5" s="12"/>
      <c r="G5" s="13"/>
      <c r="H5" s="14" t="s">
        <v>4</v>
      </c>
      <c r="I5" s="15">
        <f ca="1" xml:space="preserve"> TODAY()</f>
        <v>44474</v>
      </c>
    </row>
    <row r="6" spans="2:10" ht="5.25" customHeight="1" x14ac:dyDescent="0.3">
      <c r="B6" s="11"/>
      <c r="C6" s="251"/>
      <c r="D6" s="251"/>
      <c r="E6" s="12"/>
      <c r="F6" s="12"/>
      <c r="G6" s="13"/>
      <c r="H6" s="14"/>
      <c r="I6" s="15"/>
    </row>
    <row r="7" spans="2:10" ht="15" customHeight="1" x14ac:dyDescent="0.3">
      <c r="B7" s="11" t="s">
        <v>3</v>
      </c>
      <c r="C7" s="389">
        <f>+'SCH A'!C7</f>
        <v>0</v>
      </c>
      <c r="D7" s="389">
        <f>+'SCH A'!D7</f>
        <v>0</v>
      </c>
      <c r="E7" s="389">
        <f>+'SCH A'!E7</f>
        <v>0</v>
      </c>
      <c r="F7" s="389">
        <f>+'SCH A'!F7</f>
        <v>0</v>
      </c>
      <c r="G7" s="389">
        <f>+'SCH A'!G7</f>
        <v>0</v>
      </c>
      <c r="H7" s="254" t="s">
        <v>155</v>
      </c>
      <c r="I7" s="252" t="str">
        <f>+'SCH A'!J9</f>
        <v>US CUSTOMARY</v>
      </c>
      <c r="J7" s="255"/>
    </row>
    <row r="8" spans="2:10" ht="15" customHeight="1" thickBot="1" x14ac:dyDescent="0.35">
      <c r="B8" s="11"/>
      <c r="C8" s="251"/>
      <c r="D8" s="251"/>
      <c r="E8" s="251"/>
      <c r="F8" s="251"/>
      <c r="G8" s="251"/>
      <c r="H8" s="14"/>
      <c r="I8" s="17"/>
      <c r="J8" s="255"/>
    </row>
    <row r="9" spans="2:10" ht="19.5" customHeight="1" thickBot="1" x14ac:dyDescent="0.35">
      <c r="B9" s="405" t="s">
        <v>149</v>
      </c>
      <c r="C9" s="405"/>
      <c r="D9" s="405"/>
      <c r="E9" s="405"/>
      <c r="F9" s="405"/>
      <c r="G9" s="405"/>
      <c r="H9" s="405"/>
      <c r="I9" s="405"/>
      <c r="J9" s="406"/>
    </row>
    <row r="10" spans="2:10" ht="6" customHeight="1" x14ac:dyDescent="0.3">
      <c r="B10" s="258"/>
      <c r="C10" s="258"/>
      <c r="D10" s="258"/>
      <c r="E10" s="258"/>
      <c r="F10" s="258"/>
      <c r="G10" s="258"/>
      <c r="H10" s="258"/>
      <c r="I10" s="258"/>
      <c r="J10" s="255"/>
    </row>
    <row r="11" spans="2:10" ht="15" customHeight="1" x14ac:dyDescent="0.3">
      <c r="B11" s="11"/>
      <c r="C11" s="251"/>
      <c r="D11" s="267" t="s">
        <v>157</v>
      </c>
      <c r="E11" s="267" t="s">
        <v>150</v>
      </c>
      <c r="F11" s="267" t="s">
        <v>151</v>
      </c>
      <c r="G11" s="267" t="s">
        <v>152</v>
      </c>
      <c r="H11" s="267" t="s">
        <v>153</v>
      </c>
      <c r="I11" s="267" t="s">
        <v>154</v>
      </c>
      <c r="J11" s="259"/>
    </row>
    <row r="12" spans="2:10" ht="6" customHeight="1" x14ac:dyDescent="0.3">
      <c r="B12" s="11"/>
      <c r="C12" s="251"/>
      <c r="D12" s="262"/>
      <c r="E12" s="262"/>
      <c r="F12" s="262"/>
      <c r="G12" s="262"/>
      <c r="H12" s="262"/>
      <c r="I12" s="262"/>
      <c r="J12" s="259"/>
    </row>
    <row r="13" spans="2:10" ht="15" customHeight="1" x14ac:dyDescent="0.3">
      <c r="B13" s="7"/>
      <c r="C13" s="7"/>
      <c r="D13" s="263" t="str">
        <f>+'SCH A'!$I$7</f>
        <v xml:space="preserve">Schedule: </v>
      </c>
      <c r="E13" s="265" t="str">
        <f>+'SCH B'!$I$7</f>
        <v xml:space="preserve">Schedule: </v>
      </c>
      <c r="F13" s="265" t="str">
        <f>+'SCH C'!$I$7</f>
        <v xml:space="preserve">Schedule: </v>
      </c>
      <c r="G13" s="265" t="str">
        <f>+'SCH D'!$I$7</f>
        <v xml:space="preserve">Option: </v>
      </c>
      <c r="H13" s="265" t="str">
        <f>+'SCH E'!$I$7</f>
        <v xml:space="preserve">Option: </v>
      </c>
      <c r="I13" s="265" t="str">
        <f>+'SCH F'!$I$7</f>
        <v xml:space="preserve">Option: </v>
      </c>
    </row>
    <row r="14" spans="2:10" x14ac:dyDescent="0.3">
      <c r="B14" s="7"/>
      <c r="C14" s="7"/>
      <c r="D14" s="264" t="str">
        <f>+'SCH A'!$J$7</f>
        <v>A</v>
      </c>
      <c r="E14" s="264" t="str">
        <f>+'SCH B'!$J$7</f>
        <v>B</v>
      </c>
      <c r="F14" s="264" t="str">
        <f>+'SCH C'!$J$7</f>
        <v>C</v>
      </c>
      <c r="G14" s="264" t="str">
        <f>+'SCH D'!$J$7</f>
        <v>D</v>
      </c>
      <c r="H14" s="264" t="str">
        <f>+'SCH E'!$J$7</f>
        <v>E</v>
      </c>
      <c r="I14" s="264" t="str">
        <f>+'SCH F'!$J$7</f>
        <v>F</v>
      </c>
      <c r="J14" s="266" t="s">
        <v>156</v>
      </c>
    </row>
    <row r="15" spans="2:10" x14ac:dyDescent="0.3">
      <c r="B15" s="269" t="s">
        <v>141</v>
      </c>
      <c r="C15" s="270"/>
      <c r="D15" s="271"/>
      <c r="E15" s="271"/>
      <c r="F15" s="271"/>
      <c r="G15" s="271"/>
      <c r="H15" s="271"/>
      <c r="I15" s="271"/>
      <c r="J15" s="272">
        <f>SUM(D15:I15)</f>
        <v>0</v>
      </c>
    </row>
    <row r="16" spans="2:10" x14ac:dyDescent="0.3">
      <c r="B16" s="288" t="s">
        <v>142</v>
      </c>
      <c r="C16" s="281"/>
      <c r="D16" s="282"/>
      <c r="E16" s="282"/>
      <c r="F16" s="282"/>
      <c r="G16" s="282"/>
      <c r="H16" s="282"/>
      <c r="I16" s="282"/>
      <c r="J16" s="283">
        <f>SUM(D16:I16)</f>
        <v>0</v>
      </c>
    </row>
    <row r="17" spans="2:10" x14ac:dyDescent="0.3">
      <c r="B17" s="284" t="s">
        <v>143</v>
      </c>
      <c r="C17" s="285"/>
      <c r="D17" s="286" t="str">
        <f>IF(ISNUMBER(D15),+D15+D16,"-")</f>
        <v>-</v>
      </c>
      <c r="E17" s="286" t="str">
        <f t="shared" ref="E17:J17" si="0">IF(ISNUMBER(E15),+E15+E16,"-")</f>
        <v>-</v>
      </c>
      <c r="F17" s="286" t="str">
        <f t="shared" ref="F17:I17" si="1">IF(ISNUMBER(F15),+F15+F16,"-")</f>
        <v>-</v>
      </c>
      <c r="G17" s="286" t="str">
        <f t="shared" si="1"/>
        <v>-</v>
      </c>
      <c r="H17" s="286" t="str">
        <f t="shared" si="1"/>
        <v>-</v>
      </c>
      <c r="I17" s="286" t="str">
        <f t="shared" si="1"/>
        <v>-</v>
      </c>
      <c r="J17" s="286">
        <f t="shared" si="0"/>
        <v>0</v>
      </c>
    </row>
    <row r="18" spans="2:10" x14ac:dyDescent="0.3">
      <c r="B18" s="256"/>
      <c r="D18" s="261"/>
      <c r="E18" s="261"/>
      <c r="F18" s="261"/>
      <c r="G18" s="261"/>
      <c r="H18" s="261"/>
      <c r="I18" s="261"/>
      <c r="J18" s="261"/>
    </row>
    <row r="19" spans="2:10" x14ac:dyDescent="0.3">
      <c r="B19" s="273" t="s">
        <v>144</v>
      </c>
      <c r="C19" s="270"/>
      <c r="D19" s="272">
        <f>+'SCH A'!$J$38</f>
        <v>0</v>
      </c>
      <c r="E19" s="272">
        <f>+'SCH B'!$J$38</f>
        <v>0</v>
      </c>
      <c r="F19" s="272">
        <f>+'SCH C'!$J$38</f>
        <v>0</v>
      </c>
      <c r="G19" s="272">
        <f>+'SCH D'!$J$38</f>
        <v>0</v>
      </c>
      <c r="H19" s="272">
        <f>+'SCH E'!$J$38</f>
        <v>0</v>
      </c>
      <c r="I19" s="272">
        <f>+'SCH F'!$J$38</f>
        <v>0</v>
      </c>
      <c r="J19" s="272">
        <f>SUM(D19:I19)</f>
        <v>0</v>
      </c>
    </row>
    <row r="20" spans="2:10" x14ac:dyDescent="0.3">
      <c r="B20" s="274" t="s">
        <v>145</v>
      </c>
      <c r="C20" s="275"/>
      <c r="D20" s="276">
        <f>+'SCH A'!$J$51</f>
        <v>0</v>
      </c>
      <c r="E20" s="276">
        <f>+'SCH B'!$J$51</f>
        <v>0</v>
      </c>
      <c r="F20" s="276">
        <f>+'SCH C'!$J$51</f>
        <v>0</v>
      </c>
      <c r="G20" s="276">
        <f>+'SCH D'!$J$51</f>
        <v>0</v>
      </c>
      <c r="H20" s="276">
        <f>+'SCH E'!$J$51</f>
        <v>0</v>
      </c>
      <c r="I20" s="276">
        <f>+'SCH F'!$J$51</f>
        <v>0</v>
      </c>
      <c r="J20" s="276">
        <f>SUM(D20:I20)</f>
        <v>0</v>
      </c>
    </row>
    <row r="21" spans="2:10" x14ac:dyDescent="0.3">
      <c r="B21" s="274" t="s">
        <v>158</v>
      </c>
      <c r="C21" s="275"/>
      <c r="D21" s="276" t="str">
        <f>+'SCH A'!$G$162</f>
        <v>$0.00</v>
      </c>
      <c r="E21" s="276" t="str">
        <f>+'SCH B'!$G$162</f>
        <v>$0.00</v>
      </c>
      <c r="F21" s="276" t="str">
        <f>+'SCH C'!$G$162</f>
        <v>$0.00</v>
      </c>
      <c r="G21" s="276" t="str">
        <f>+'SCH D'!$G$162</f>
        <v>$0.00</v>
      </c>
      <c r="H21" s="276" t="str">
        <f>+'SCH E'!$G$162</f>
        <v>$0.00</v>
      </c>
      <c r="I21" s="276" t="str">
        <f>+'SCH F'!$G$162</f>
        <v>$0.00</v>
      </c>
      <c r="J21" s="276">
        <f>SUM(D21:I21)</f>
        <v>0</v>
      </c>
    </row>
    <row r="22" spans="2:10" x14ac:dyDescent="0.3">
      <c r="B22" s="274" t="s">
        <v>159</v>
      </c>
      <c r="C22" s="275"/>
      <c r="D22" s="276" t="str">
        <f>+'SCH A'!$G179</f>
        <v>$0.00</v>
      </c>
      <c r="E22" s="276" t="str">
        <f>+'SCH B'!$G179</f>
        <v>$0.00</v>
      </c>
      <c r="F22" s="276" t="str">
        <f>+'SCH C'!$G179</f>
        <v>$0.00</v>
      </c>
      <c r="G22" s="276" t="str">
        <f>+'SCH D'!$G179</f>
        <v>$0.00</v>
      </c>
      <c r="H22" s="276" t="str">
        <f>+'SCH E'!$G179</f>
        <v>$0.00</v>
      </c>
      <c r="I22" s="276" t="str">
        <f>+'SCH F'!$G179</f>
        <v>$0.00</v>
      </c>
      <c r="J22" s="276">
        <f>SUM(D22:I22)</f>
        <v>0</v>
      </c>
    </row>
    <row r="23" spans="2:10" x14ac:dyDescent="0.3">
      <c r="B23" s="280" t="s">
        <v>146</v>
      </c>
      <c r="C23" s="281"/>
      <c r="D23" s="282"/>
      <c r="E23" s="282"/>
      <c r="F23" s="282"/>
      <c r="G23" s="282"/>
      <c r="H23" s="282"/>
      <c r="I23" s="282"/>
      <c r="J23" s="283">
        <f>SUM(D23:I23)</f>
        <v>0</v>
      </c>
    </row>
    <row r="24" spans="2:10" x14ac:dyDescent="0.3">
      <c r="B24" s="284" t="s">
        <v>147</v>
      </c>
      <c r="C24" s="285"/>
      <c r="D24" s="286" t="str">
        <f>IF(ISNUMBER(D15),SUM(D19:D23),"-")</f>
        <v>-</v>
      </c>
      <c r="E24" s="286" t="str">
        <f t="shared" ref="E24:J24" si="2">IF(ISNUMBER(E15),SUM(E19:E23),"-")</f>
        <v>-</v>
      </c>
      <c r="F24" s="286" t="str">
        <f t="shared" si="2"/>
        <v>-</v>
      </c>
      <c r="G24" s="286" t="str">
        <f t="shared" si="2"/>
        <v>-</v>
      </c>
      <c r="H24" s="286" t="str">
        <f t="shared" si="2"/>
        <v>-</v>
      </c>
      <c r="I24" s="286" t="str">
        <f t="shared" si="2"/>
        <v>-</v>
      </c>
      <c r="J24" s="286">
        <f t="shared" si="2"/>
        <v>0</v>
      </c>
    </row>
    <row r="25" spans="2:10" ht="19.5" customHeight="1" thickBot="1" x14ac:dyDescent="0.35">
      <c r="B25" s="257"/>
      <c r="D25" s="260"/>
      <c r="E25" s="260"/>
      <c r="F25" s="260"/>
      <c r="G25" s="260"/>
      <c r="H25" s="260"/>
      <c r="I25" s="260"/>
      <c r="J25" s="260"/>
    </row>
    <row r="26" spans="2:10" ht="32.25" customHeight="1" thickBot="1" x14ac:dyDescent="0.35">
      <c r="B26" s="277" t="s">
        <v>148</v>
      </c>
      <c r="C26" s="278"/>
      <c r="D26" s="279" t="str">
        <f>IF(ISNUMBER(D15),(+D17+D24),"-")</f>
        <v>-</v>
      </c>
      <c r="E26" s="279" t="str">
        <f t="shared" ref="E26:J26" si="3">IF(ISNUMBER(E15),(+E17+E24),"-")</f>
        <v>-</v>
      </c>
      <c r="F26" s="279" t="str">
        <f t="shared" si="3"/>
        <v>-</v>
      </c>
      <c r="G26" s="279" t="str">
        <f t="shared" si="3"/>
        <v>-</v>
      </c>
      <c r="H26" s="279" t="str">
        <f t="shared" si="3"/>
        <v>-</v>
      </c>
      <c r="I26" s="279" t="str">
        <f t="shared" si="3"/>
        <v>-</v>
      </c>
      <c r="J26" s="287">
        <f t="shared" si="3"/>
        <v>0</v>
      </c>
    </row>
    <row r="43" spans="10:10" x14ac:dyDescent="0.3">
      <c r="J43" s="302" t="str">
        <f>'SCH A'!$J$67</f>
        <v>EFL-TM-ESS-01(10)</v>
      </c>
    </row>
  </sheetData>
  <mergeCells count="3">
    <mergeCell ref="B2:I2"/>
    <mergeCell ref="C7:G7"/>
    <mergeCell ref="B9:J9"/>
  </mergeCells>
  <dataValidations disablePrompts="1" count="2">
    <dataValidation allowBlank="1" showInputMessage="1" showErrorMessage="1" promptTitle="Enter project number" prompt="Example:  CA FTNP JOTR 11(5)" sqref="C5:D5" xr:uid="{00000000-0002-0000-0D00-000000000000}"/>
    <dataValidation allowBlank="1" showInputMessage="1" showErrorMessage="1" promptTitle="Enter project name" prompt="Example:  Pinto Basin Road" sqref="C7:G7" xr:uid="{00000000-0002-0000-0D00-000001000000}"/>
  </dataValidations>
  <pageMargins left="0.5" right="0.5"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6"/>
  <sheetViews>
    <sheetView workbookViewId="0">
      <selection activeCell="C30" sqref="C30"/>
    </sheetView>
  </sheetViews>
  <sheetFormatPr defaultRowHeight="14.4" x14ac:dyDescent="0.3"/>
  <cols>
    <col min="3" max="3" width="35.109375" customWidth="1"/>
    <col min="4" max="4" width="15.88671875" customWidth="1"/>
    <col min="5" max="5" width="14.44140625" customWidth="1"/>
    <col min="6" max="6" width="8.88671875" customWidth="1"/>
    <col min="7" max="7" width="18.5546875" customWidth="1"/>
  </cols>
  <sheetData>
    <row r="1" spans="1:8" x14ac:dyDescent="0.3">
      <c r="A1" s="98" t="s">
        <v>34</v>
      </c>
      <c r="B1" s="99"/>
      <c r="C1" s="99"/>
      <c r="D1" s="99" t="s">
        <v>44</v>
      </c>
      <c r="E1" s="99" t="s">
        <v>45</v>
      </c>
      <c r="F1" s="100">
        <v>0.7</v>
      </c>
      <c r="G1" s="100">
        <v>0.77</v>
      </c>
      <c r="H1" s="101" t="s">
        <v>15</v>
      </c>
    </row>
    <row r="2" spans="1:8" x14ac:dyDescent="0.3">
      <c r="A2" s="102" t="s">
        <v>35</v>
      </c>
      <c r="B2" s="103" t="s">
        <v>36</v>
      </c>
      <c r="C2" s="104"/>
      <c r="D2" s="104" t="s">
        <v>44</v>
      </c>
      <c r="E2" s="104" t="s">
        <v>45</v>
      </c>
      <c r="F2" s="105">
        <v>0.7</v>
      </c>
      <c r="G2" s="105">
        <v>0.77</v>
      </c>
      <c r="H2" s="106" t="s">
        <v>15</v>
      </c>
    </row>
    <row r="3" spans="1:8" x14ac:dyDescent="0.3">
      <c r="A3" s="166" t="s">
        <v>37</v>
      </c>
      <c r="B3" s="167" t="s">
        <v>38</v>
      </c>
      <c r="C3" s="168"/>
      <c r="D3" s="168" t="s">
        <v>44</v>
      </c>
      <c r="E3" s="168" t="s">
        <v>45</v>
      </c>
      <c r="F3" s="169">
        <v>0.7</v>
      </c>
      <c r="G3" s="169">
        <v>0.77</v>
      </c>
      <c r="H3" s="170" t="s">
        <v>15</v>
      </c>
    </row>
    <row r="4" spans="1:8" x14ac:dyDescent="0.3">
      <c r="A4" s="98" t="s">
        <v>39</v>
      </c>
      <c r="B4" s="126"/>
      <c r="C4" s="127"/>
      <c r="D4" s="99" t="s">
        <v>46</v>
      </c>
      <c r="E4" s="99" t="s">
        <v>47</v>
      </c>
      <c r="F4" s="100">
        <v>0.3</v>
      </c>
      <c r="G4" s="100">
        <v>0.36</v>
      </c>
      <c r="H4" s="101" t="s">
        <v>16</v>
      </c>
    </row>
    <row r="5" spans="1:8" x14ac:dyDescent="0.3">
      <c r="A5" s="102" t="s">
        <v>40</v>
      </c>
      <c r="B5" s="103" t="s">
        <v>41</v>
      </c>
      <c r="C5" s="128"/>
      <c r="D5" s="104" t="s">
        <v>46</v>
      </c>
      <c r="E5" s="104" t="s">
        <v>47</v>
      </c>
      <c r="F5" s="105">
        <v>0.3</v>
      </c>
      <c r="G5" s="105">
        <v>0.36</v>
      </c>
      <c r="H5" s="106" t="s">
        <v>16</v>
      </c>
    </row>
    <row r="6" spans="1:8" x14ac:dyDescent="0.3">
      <c r="A6" s="123" t="s">
        <v>42</v>
      </c>
      <c r="B6" s="124" t="s">
        <v>43</v>
      </c>
      <c r="C6" s="125"/>
      <c r="D6" s="86" t="s">
        <v>46</v>
      </c>
      <c r="E6" s="86" t="s">
        <v>47</v>
      </c>
      <c r="F6" s="87">
        <v>0.3</v>
      </c>
      <c r="G6" s="87">
        <v>0.36</v>
      </c>
      <c r="H6" s="88" t="s">
        <v>16</v>
      </c>
    </row>
    <row r="7" spans="1:8" x14ac:dyDescent="0.3">
      <c r="A7" s="107" t="s">
        <v>48</v>
      </c>
      <c r="B7" s="99"/>
      <c r="C7" s="99"/>
      <c r="D7" s="99" t="s">
        <v>44</v>
      </c>
      <c r="E7" s="99" t="s">
        <v>45</v>
      </c>
      <c r="F7" s="100">
        <v>0.7</v>
      </c>
      <c r="G7" s="100">
        <v>0.77</v>
      </c>
      <c r="H7" s="101" t="s">
        <v>15</v>
      </c>
    </row>
    <row r="8" spans="1:8" x14ac:dyDescent="0.3">
      <c r="A8" s="108" t="s">
        <v>49</v>
      </c>
      <c r="B8" s="109" t="s">
        <v>50</v>
      </c>
      <c r="C8" s="109"/>
      <c r="D8" s="104" t="s">
        <v>44</v>
      </c>
      <c r="E8" s="104" t="s">
        <v>45</v>
      </c>
      <c r="F8" s="105">
        <v>0.7</v>
      </c>
      <c r="G8" s="105">
        <v>0.77</v>
      </c>
      <c r="H8" s="106" t="s">
        <v>15</v>
      </c>
    </row>
    <row r="9" spans="1:8" x14ac:dyDescent="0.3">
      <c r="A9" s="171" t="s">
        <v>51</v>
      </c>
      <c r="B9" s="172" t="s">
        <v>52</v>
      </c>
      <c r="C9" s="172"/>
      <c r="D9" s="173" t="s">
        <v>44</v>
      </c>
      <c r="E9" s="173" t="s">
        <v>45</v>
      </c>
      <c r="F9" s="174">
        <v>0.7</v>
      </c>
      <c r="G9" s="174">
        <v>0.77</v>
      </c>
      <c r="H9" s="175" t="s">
        <v>15</v>
      </c>
    </row>
    <row r="10" spans="1:8" x14ac:dyDescent="0.3">
      <c r="A10" s="108" t="s">
        <v>53</v>
      </c>
      <c r="B10" s="109" t="s">
        <v>54</v>
      </c>
      <c r="C10" s="109"/>
      <c r="D10" s="104" t="s">
        <v>44</v>
      </c>
      <c r="E10" s="104" t="s">
        <v>45</v>
      </c>
      <c r="F10" s="105">
        <v>0.7</v>
      </c>
      <c r="G10" s="105">
        <v>0.77</v>
      </c>
      <c r="H10" s="106" t="s">
        <v>15</v>
      </c>
    </row>
    <row r="11" spans="1:8" x14ac:dyDescent="0.3">
      <c r="A11" s="108" t="s">
        <v>55</v>
      </c>
      <c r="B11" s="109" t="s">
        <v>56</v>
      </c>
      <c r="C11" s="109"/>
      <c r="D11" s="104" t="s">
        <v>44</v>
      </c>
      <c r="E11" s="104" t="s">
        <v>45</v>
      </c>
      <c r="F11" s="105">
        <v>0.7</v>
      </c>
      <c r="G11" s="105">
        <v>0.77</v>
      </c>
      <c r="H11" s="106" t="s">
        <v>15</v>
      </c>
    </row>
    <row r="12" spans="1:8" x14ac:dyDescent="0.3">
      <c r="A12" s="110" t="s">
        <v>57</v>
      </c>
      <c r="B12" s="111" t="s">
        <v>56</v>
      </c>
      <c r="C12" s="111"/>
      <c r="D12" s="112" t="s">
        <v>44</v>
      </c>
      <c r="E12" s="112" t="s">
        <v>45</v>
      </c>
      <c r="F12" s="113">
        <v>0.7</v>
      </c>
      <c r="G12" s="113">
        <v>0.77</v>
      </c>
      <c r="H12" s="114" t="s">
        <v>15</v>
      </c>
    </row>
    <row r="13" spans="1:8" x14ac:dyDescent="0.3">
      <c r="A13" s="107" t="s">
        <v>58</v>
      </c>
      <c r="B13" s="99"/>
      <c r="C13" s="99"/>
      <c r="D13" s="99" t="s">
        <v>46</v>
      </c>
      <c r="E13" s="99" t="s">
        <v>47</v>
      </c>
      <c r="F13" s="100">
        <v>0.3</v>
      </c>
      <c r="G13" s="100">
        <v>0.36</v>
      </c>
      <c r="H13" s="101" t="s">
        <v>16</v>
      </c>
    </row>
    <row r="14" spans="1:8" x14ac:dyDescent="0.3">
      <c r="A14" s="108" t="s">
        <v>59</v>
      </c>
      <c r="B14" s="109" t="s">
        <v>60</v>
      </c>
      <c r="C14" s="109"/>
      <c r="D14" s="104" t="s">
        <v>46</v>
      </c>
      <c r="E14" s="104" t="s">
        <v>47</v>
      </c>
      <c r="F14" s="105">
        <v>0.3</v>
      </c>
      <c r="G14" s="105">
        <v>0.36</v>
      </c>
      <c r="H14" s="106" t="s">
        <v>16</v>
      </c>
    </row>
    <row r="15" spans="1:8" x14ac:dyDescent="0.3">
      <c r="A15" s="129" t="s">
        <v>61</v>
      </c>
      <c r="B15" s="79" t="s">
        <v>100</v>
      </c>
      <c r="C15" s="130"/>
      <c r="D15" s="90" t="s">
        <v>46</v>
      </c>
      <c r="E15" s="90" t="s">
        <v>47</v>
      </c>
      <c r="F15" s="131">
        <v>0.3</v>
      </c>
      <c r="G15" s="131">
        <v>0.36</v>
      </c>
      <c r="H15" s="91" t="s">
        <v>16</v>
      </c>
    </row>
    <row r="16" spans="1:8" x14ac:dyDescent="0.3">
      <c r="A16" s="108" t="s">
        <v>62</v>
      </c>
      <c r="B16" s="109" t="s">
        <v>63</v>
      </c>
      <c r="C16" s="109"/>
      <c r="D16" s="104" t="s">
        <v>46</v>
      </c>
      <c r="E16" s="104" t="s">
        <v>47</v>
      </c>
      <c r="F16" s="105">
        <v>0.3</v>
      </c>
      <c r="G16" s="105">
        <v>0.36</v>
      </c>
      <c r="H16" s="106" t="s">
        <v>16</v>
      </c>
    </row>
    <row r="17" spans="1:8" x14ac:dyDescent="0.3">
      <c r="A17" s="110" t="s">
        <v>64</v>
      </c>
      <c r="B17" s="111" t="s">
        <v>65</v>
      </c>
      <c r="C17" s="111"/>
      <c r="D17" s="112" t="s">
        <v>46</v>
      </c>
      <c r="E17" s="112" t="s">
        <v>47</v>
      </c>
      <c r="F17" s="113">
        <v>0.3</v>
      </c>
      <c r="G17" s="113">
        <v>0.36</v>
      </c>
      <c r="H17" s="114" t="s">
        <v>16</v>
      </c>
    </row>
    <row r="18" spans="1:8" x14ac:dyDescent="0.3">
      <c r="A18" s="115" t="s">
        <v>68</v>
      </c>
      <c r="B18" s="116"/>
      <c r="C18" s="76"/>
      <c r="D18" s="99" t="s">
        <v>46</v>
      </c>
      <c r="E18" s="99" t="s">
        <v>47</v>
      </c>
      <c r="F18" s="100">
        <v>0.15</v>
      </c>
      <c r="G18" s="100">
        <v>0.18</v>
      </c>
      <c r="H18" s="101" t="s">
        <v>16</v>
      </c>
    </row>
    <row r="19" spans="1:8" x14ac:dyDescent="0.3">
      <c r="A19" s="117" t="s">
        <v>69</v>
      </c>
      <c r="B19" s="103" t="s">
        <v>70</v>
      </c>
      <c r="C19" s="118"/>
      <c r="D19" s="104" t="s">
        <v>46</v>
      </c>
      <c r="E19" s="104" t="s">
        <v>47</v>
      </c>
      <c r="F19" s="105">
        <v>0.15</v>
      </c>
      <c r="G19" s="105">
        <v>0.18</v>
      </c>
      <c r="H19" s="106" t="s">
        <v>16</v>
      </c>
    </row>
    <row r="20" spans="1:8" x14ac:dyDescent="0.3">
      <c r="A20" s="132" t="s">
        <v>71</v>
      </c>
      <c r="B20" s="124" t="s">
        <v>72</v>
      </c>
      <c r="C20" s="133"/>
      <c r="D20" s="86" t="s">
        <v>46</v>
      </c>
      <c r="E20" s="86" t="s">
        <v>47</v>
      </c>
      <c r="F20" s="87">
        <v>0.15</v>
      </c>
      <c r="G20" s="87">
        <v>0.18</v>
      </c>
      <c r="H20" s="88" t="s">
        <v>16</v>
      </c>
    </row>
    <row r="21" spans="1:8" x14ac:dyDescent="0.3">
      <c r="A21" s="115" t="s">
        <v>80</v>
      </c>
      <c r="B21" s="136"/>
      <c r="C21" s="76"/>
      <c r="D21" s="99" t="s">
        <v>44</v>
      </c>
      <c r="E21" s="99" t="s">
        <v>45</v>
      </c>
      <c r="F21" s="100">
        <v>0.7</v>
      </c>
      <c r="G21" s="100">
        <v>0.77</v>
      </c>
      <c r="H21" s="101" t="s">
        <v>16</v>
      </c>
    </row>
    <row r="22" spans="1:8" x14ac:dyDescent="0.3">
      <c r="A22" s="117" t="s">
        <v>81</v>
      </c>
      <c r="B22" s="103" t="s">
        <v>82</v>
      </c>
      <c r="C22" s="118"/>
      <c r="D22" s="104" t="s">
        <v>44</v>
      </c>
      <c r="E22" s="104" t="s">
        <v>45</v>
      </c>
      <c r="F22" s="105">
        <v>0.7</v>
      </c>
      <c r="G22" s="105">
        <v>0.77</v>
      </c>
      <c r="H22" s="106" t="s">
        <v>16</v>
      </c>
    </row>
    <row r="23" spans="1:8" x14ac:dyDescent="0.3">
      <c r="A23" s="134" t="s">
        <v>83</v>
      </c>
      <c r="B23" s="79" t="s">
        <v>82</v>
      </c>
      <c r="C23" s="135"/>
      <c r="D23" s="90" t="s">
        <v>44</v>
      </c>
      <c r="E23" s="90" t="s">
        <v>45</v>
      </c>
      <c r="F23" s="131">
        <v>0.7</v>
      </c>
      <c r="G23" s="131">
        <v>0.77</v>
      </c>
      <c r="H23" s="91" t="s">
        <v>16</v>
      </c>
    </row>
    <row r="24" spans="1:8" x14ac:dyDescent="0.3">
      <c r="A24" s="115" t="s">
        <v>78</v>
      </c>
      <c r="B24" s="116"/>
      <c r="C24" s="76"/>
      <c r="D24" s="99" t="s">
        <v>44</v>
      </c>
      <c r="E24" s="99" t="s">
        <v>45</v>
      </c>
      <c r="F24" s="100">
        <v>2.4</v>
      </c>
      <c r="G24" s="100">
        <v>2.65</v>
      </c>
      <c r="H24" s="101" t="s">
        <v>15</v>
      </c>
    </row>
    <row r="25" spans="1:8" x14ac:dyDescent="0.3">
      <c r="A25" s="117" t="s">
        <v>73</v>
      </c>
      <c r="B25" s="103" t="s">
        <v>74</v>
      </c>
      <c r="C25" s="118"/>
      <c r="D25" s="104" t="s">
        <v>44</v>
      </c>
      <c r="E25" s="104" t="s">
        <v>45</v>
      </c>
      <c r="F25" s="105">
        <v>2.4</v>
      </c>
      <c r="G25" s="105">
        <v>2.65</v>
      </c>
      <c r="H25" s="106" t="s">
        <v>15</v>
      </c>
    </row>
    <row r="26" spans="1:8" x14ac:dyDescent="0.3">
      <c r="A26" s="176" t="s">
        <v>75</v>
      </c>
      <c r="B26" s="167" t="s">
        <v>76</v>
      </c>
      <c r="C26" s="177"/>
      <c r="D26" s="168" t="s">
        <v>44</v>
      </c>
      <c r="E26" s="168" t="s">
        <v>45</v>
      </c>
      <c r="F26" s="169">
        <v>2.4</v>
      </c>
      <c r="G26" s="169">
        <v>2.65</v>
      </c>
      <c r="H26" s="170" t="s">
        <v>15</v>
      </c>
    </row>
    <row r="27" spans="1:8" x14ac:dyDescent="0.3">
      <c r="A27" s="115" t="s">
        <v>79</v>
      </c>
      <c r="B27" s="116"/>
      <c r="C27" s="76"/>
      <c r="D27" s="99" t="s">
        <v>44</v>
      </c>
      <c r="E27" s="99" t="s">
        <v>45</v>
      </c>
      <c r="F27" s="100">
        <v>2.4</v>
      </c>
      <c r="G27" s="100">
        <v>2.65</v>
      </c>
      <c r="H27" s="101" t="s">
        <v>15</v>
      </c>
    </row>
    <row r="28" spans="1:8" x14ac:dyDescent="0.3">
      <c r="A28" s="117" t="s">
        <v>93</v>
      </c>
      <c r="B28" s="103" t="s">
        <v>98</v>
      </c>
      <c r="C28" s="118"/>
      <c r="D28" s="104" t="s">
        <v>44</v>
      </c>
      <c r="E28" s="104" t="s">
        <v>45</v>
      </c>
      <c r="F28" s="105">
        <v>2.4</v>
      </c>
      <c r="G28" s="105">
        <v>2.65</v>
      </c>
      <c r="H28" s="106" t="s">
        <v>15</v>
      </c>
    </row>
    <row r="29" spans="1:8" x14ac:dyDescent="0.3">
      <c r="A29" s="176" t="s">
        <v>95</v>
      </c>
      <c r="B29" s="167" t="s">
        <v>99</v>
      </c>
      <c r="C29" s="168"/>
      <c r="D29" s="168" t="s">
        <v>44</v>
      </c>
      <c r="E29" s="168" t="s">
        <v>45</v>
      </c>
      <c r="F29" s="169">
        <v>2.4</v>
      </c>
      <c r="G29" s="169">
        <v>2.65</v>
      </c>
      <c r="H29" s="170" t="s">
        <v>15</v>
      </c>
    </row>
    <row r="30" spans="1:8" x14ac:dyDescent="0.3">
      <c r="A30" s="119" t="s">
        <v>86</v>
      </c>
      <c r="B30" s="120"/>
      <c r="C30" s="99"/>
      <c r="D30" s="99" t="s">
        <v>44</v>
      </c>
      <c r="E30" s="99" t="s">
        <v>45</v>
      </c>
      <c r="F30" s="100">
        <v>2.4</v>
      </c>
      <c r="G30" s="100">
        <v>2.65</v>
      </c>
      <c r="H30" s="101" t="s">
        <v>16</v>
      </c>
    </row>
    <row r="31" spans="1:8" x14ac:dyDescent="0.3">
      <c r="A31" s="121" t="s">
        <v>73</v>
      </c>
      <c r="B31" s="122" t="s">
        <v>91</v>
      </c>
      <c r="C31" s="109"/>
      <c r="D31" s="104" t="s">
        <v>44</v>
      </c>
      <c r="E31" s="104" t="s">
        <v>45</v>
      </c>
      <c r="F31" s="105">
        <v>2.4</v>
      </c>
      <c r="G31" s="105">
        <v>2.65</v>
      </c>
      <c r="H31" s="106" t="s">
        <v>16</v>
      </c>
    </row>
    <row r="32" spans="1:8" x14ac:dyDescent="0.3">
      <c r="A32" s="84" t="s">
        <v>75</v>
      </c>
      <c r="B32" s="85" t="s">
        <v>87</v>
      </c>
      <c r="C32" s="86"/>
      <c r="D32" s="86" t="s">
        <v>44</v>
      </c>
      <c r="E32" s="86" t="s">
        <v>45</v>
      </c>
      <c r="F32" s="87">
        <v>2.4</v>
      </c>
      <c r="G32" s="87">
        <v>2.65</v>
      </c>
      <c r="H32" s="88" t="s">
        <v>16</v>
      </c>
    </row>
    <row r="33" spans="1:12" x14ac:dyDescent="0.3">
      <c r="A33" s="119" t="s">
        <v>84</v>
      </c>
      <c r="B33" s="120"/>
      <c r="C33" s="99"/>
      <c r="D33" s="99" t="s">
        <v>44</v>
      </c>
      <c r="E33" s="99" t="s">
        <v>45</v>
      </c>
      <c r="F33" s="100">
        <v>2.4</v>
      </c>
      <c r="G33" s="100">
        <v>2.65</v>
      </c>
      <c r="H33" s="101" t="s">
        <v>15</v>
      </c>
      <c r="I33" s="75"/>
    </row>
    <row r="34" spans="1:12" x14ac:dyDescent="0.3">
      <c r="A34" s="121" t="s">
        <v>88</v>
      </c>
      <c r="B34" s="122" t="s">
        <v>89</v>
      </c>
      <c r="C34" s="104"/>
      <c r="D34" s="104" t="s">
        <v>44</v>
      </c>
      <c r="E34" s="104" t="s">
        <v>45</v>
      </c>
      <c r="F34" s="105">
        <v>2.4</v>
      </c>
      <c r="G34" s="105">
        <v>2.65</v>
      </c>
      <c r="H34" s="106" t="s">
        <v>15</v>
      </c>
      <c r="I34" s="75"/>
    </row>
    <row r="35" spans="1:12" x14ac:dyDescent="0.3">
      <c r="A35" s="178" t="s">
        <v>90</v>
      </c>
      <c r="B35" s="179" t="s">
        <v>85</v>
      </c>
      <c r="C35" s="168"/>
      <c r="D35" s="168" t="s">
        <v>44</v>
      </c>
      <c r="E35" s="168" t="s">
        <v>45</v>
      </c>
      <c r="F35" s="169">
        <v>2.4</v>
      </c>
      <c r="G35" s="169">
        <v>2.65</v>
      </c>
      <c r="H35" s="170" t="s">
        <v>15</v>
      </c>
      <c r="I35" s="75"/>
    </row>
    <row r="36" spans="1:12" x14ac:dyDescent="0.3">
      <c r="A36" s="119" t="s">
        <v>92</v>
      </c>
      <c r="B36" s="138"/>
      <c r="C36" s="99"/>
      <c r="D36" s="104" t="s">
        <v>44</v>
      </c>
      <c r="E36" s="104" t="s">
        <v>45</v>
      </c>
      <c r="F36" s="105">
        <v>2.4</v>
      </c>
      <c r="G36" s="105">
        <v>2.65</v>
      </c>
      <c r="H36" s="101" t="s">
        <v>16</v>
      </c>
    </row>
    <row r="37" spans="1:12" x14ac:dyDescent="0.3">
      <c r="A37" s="89" t="s">
        <v>93</v>
      </c>
      <c r="B37" s="80" t="s">
        <v>94</v>
      </c>
      <c r="C37" s="90"/>
      <c r="D37" s="86" t="s">
        <v>44</v>
      </c>
      <c r="E37" s="86" t="s">
        <v>45</v>
      </c>
      <c r="F37" s="87">
        <v>2.4</v>
      </c>
      <c r="G37" s="87">
        <v>2.65</v>
      </c>
      <c r="H37" s="88" t="s">
        <v>16</v>
      </c>
      <c r="I37" s="137"/>
      <c r="J37" s="82"/>
      <c r="K37" s="82"/>
      <c r="L37" s="82"/>
    </row>
    <row r="38" spans="1:12" x14ac:dyDescent="0.3">
      <c r="A38" s="180" t="s">
        <v>96</v>
      </c>
      <c r="B38" s="181"/>
      <c r="C38" s="182"/>
      <c r="D38" s="182" t="s">
        <v>44</v>
      </c>
      <c r="E38" s="182" t="s">
        <v>45</v>
      </c>
      <c r="F38" s="184">
        <v>2.4</v>
      </c>
      <c r="G38" s="184">
        <v>2.65</v>
      </c>
      <c r="H38" s="183" t="s">
        <v>15</v>
      </c>
    </row>
    <row r="39" spans="1:12" x14ac:dyDescent="0.3">
      <c r="A39" s="139" t="s">
        <v>97</v>
      </c>
      <c r="B39" s="140" t="s">
        <v>101</v>
      </c>
      <c r="C39" s="112"/>
      <c r="D39" s="112" t="s">
        <v>44</v>
      </c>
      <c r="E39" s="112" t="s">
        <v>45</v>
      </c>
      <c r="F39" s="113">
        <v>2.4</v>
      </c>
      <c r="G39" s="113">
        <v>2.65</v>
      </c>
      <c r="H39" s="114" t="s">
        <v>15</v>
      </c>
    </row>
    <row r="40" spans="1:12" x14ac:dyDescent="0.3">
      <c r="A40" s="119" t="s">
        <v>102</v>
      </c>
      <c r="B40" s="120"/>
      <c r="C40" s="99"/>
      <c r="D40" s="104" t="s">
        <v>44</v>
      </c>
      <c r="E40" s="104" t="s">
        <v>45</v>
      </c>
      <c r="F40" s="105">
        <v>2.4</v>
      </c>
      <c r="G40" s="105">
        <v>2.65</v>
      </c>
      <c r="H40" s="101" t="s">
        <v>16</v>
      </c>
    </row>
    <row r="41" spans="1:12" x14ac:dyDescent="0.3">
      <c r="A41" s="121" t="s">
        <v>88</v>
      </c>
      <c r="B41" s="122" t="s">
        <v>103</v>
      </c>
      <c r="C41" s="104"/>
      <c r="D41" s="104" t="s">
        <v>44</v>
      </c>
      <c r="E41" s="104" t="s">
        <v>45</v>
      </c>
      <c r="F41" s="105">
        <v>2.4</v>
      </c>
      <c r="G41" s="105">
        <v>2.65</v>
      </c>
      <c r="H41" s="106" t="s">
        <v>16</v>
      </c>
    </row>
    <row r="42" spans="1:12" x14ac:dyDescent="0.3">
      <c r="A42" s="121" t="s">
        <v>90</v>
      </c>
      <c r="B42" s="122" t="s">
        <v>104</v>
      </c>
      <c r="C42" s="104"/>
      <c r="D42" s="104" t="s">
        <v>44</v>
      </c>
      <c r="E42" s="104" t="s">
        <v>45</v>
      </c>
      <c r="F42" s="105">
        <v>2.4</v>
      </c>
      <c r="G42" s="105">
        <v>2.65</v>
      </c>
      <c r="H42" s="106" t="s">
        <v>16</v>
      </c>
    </row>
    <row r="43" spans="1:12" x14ac:dyDescent="0.3">
      <c r="A43" s="84" t="s">
        <v>105</v>
      </c>
      <c r="B43" s="85" t="s">
        <v>106</v>
      </c>
      <c r="C43" s="147"/>
      <c r="D43" s="86" t="s">
        <v>44</v>
      </c>
      <c r="E43" s="86" t="s">
        <v>45</v>
      </c>
      <c r="F43" s="87">
        <v>2.4</v>
      </c>
      <c r="G43" s="87">
        <v>2.65</v>
      </c>
      <c r="H43" s="88" t="s">
        <v>16</v>
      </c>
    </row>
    <row r="44" spans="1:12" x14ac:dyDescent="0.3">
      <c r="A44" s="180" t="s">
        <v>107</v>
      </c>
      <c r="B44" s="185"/>
      <c r="C44" s="182"/>
      <c r="D44" s="182" t="s">
        <v>44</v>
      </c>
      <c r="E44" s="182" t="s">
        <v>45</v>
      </c>
      <c r="F44" s="182">
        <v>0.7</v>
      </c>
      <c r="G44" s="182">
        <v>0.77</v>
      </c>
      <c r="H44" s="183" t="s">
        <v>15</v>
      </c>
    </row>
    <row r="45" spans="1:12" x14ac:dyDescent="0.3">
      <c r="A45" s="143" t="s">
        <v>108</v>
      </c>
      <c r="B45" s="144" t="s">
        <v>109</v>
      </c>
      <c r="C45" s="96"/>
      <c r="D45" s="96" t="s">
        <v>44</v>
      </c>
      <c r="E45" s="96" t="s">
        <v>45</v>
      </c>
      <c r="F45" s="96">
        <v>0.7</v>
      </c>
      <c r="G45" s="96">
        <v>0.77</v>
      </c>
      <c r="H45" s="97" t="s">
        <v>15</v>
      </c>
    </row>
    <row r="46" spans="1:12" x14ac:dyDescent="0.3">
      <c r="A46" s="145" t="s">
        <v>110</v>
      </c>
      <c r="B46" s="146" t="s">
        <v>111</v>
      </c>
      <c r="C46" s="148"/>
      <c r="D46" s="148" t="s">
        <v>44</v>
      </c>
      <c r="E46" s="148" t="s">
        <v>45</v>
      </c>
      <c r="F46" s="148">
        <v>0.7</v>
      </c>
      <c r="G46" s="148">
        <v>0.77</v>
      </c>
      <c r="H46" s="149" t="s">
        <v>15</v>
      </c>
    </row>
    <row r="47" spans="1:12" x14ac:dyDescent="0.3">
      <c r="A47" s="141" t="s">
        <v>112</v>
      </c>
      <c r="B47" s="142"/>
      <c r="C47" s="94"/>
      <c r="D47" s="94" t="s">
        <v>44</v>
      </c>
      <c r="E47" s="94" t="s">
        <v>45</v>
      </c>
      <c r="F47" s="94">
        <v>2.4</v>
      </c>
      <c r="G47" s="94">
        <v>2.65</v>
      </c>
      <c r="H47" s="95" t="s">
        <v>16</v>
      </c>
    </row>
    <row r="48" spans="1:12" x14ac:dyDescent="0.3">
      <c r="A48" s="84" t="s">
        <v>97</v>
      </c>
      <c r="B48" s="85" t="s">
        <v>101</v>
      </c>
      <c r="C48" s="147"/>
      <c r="D48" s="147" t="s">
        <v>44</v>
      </c>
      <c r="E48" s="147" t="s">
        <v>45</v>
      </c>
      <c r="F48" s="147">
        <v>2.4</v>
      </c>
      <c r="G48" s="147">
        <v>2.65</v>
      </c>
      <c r="H48" s="150" t="s">
        <v>16</v>
      </c>
    </row>
    <row r="49" spans="1:8" x14ac:dyDescent="0.3">
      <c r="A49" s="180" t="s">
        <v>113</v>
      </c>
      <c r="B49" s="185"/>
      <c r="C49" s="182"/>
      <c r="D49" s="182" t="s">
        <v>46</v>
      </c>
      <c r="E49" s="182" t="s">
        <v>47</v>
      </c>
      <c r="F49" s="182">
        <v>0.15</v>
      </c>
      <c r="G49" s="182">
        <v>0.18</v>
      </c>
      <c r="H49" s="183" t="s">
        <v>15</v>
      </c>
    </row>
    <row r="50" spans="1:8" x14ac:dyDescent="0.3">
      <c r="A50" s="145" t="s">
        <v>114</v>
      </c>
      <c r="B50" s="146" t="s">
        <v>115</v>
      </c>
      <c r="C50" s="148"/>
      <c r="D50" s="148" t="s">
        <v>46</v>
      </c>
      <c r="E50" s="148" t="s">
        <v>47</v>
      </c>
      <c r="F50" s="148">
        <v>0.15</v>
      </c>
      <c r="G50" s="148">
        <v>0.18</v>
      </c>
      <c r="H50" s="149" t="s">
        <v>15</v>
      </c>
    </row>
    <row r="51" spans="1:8" x14ac:dyDescent="0.3">
      <c r="A51" s="180" t="s">
        <v>116</v>
      </c>
      <c r="B51" s="185"/>
      <c r="C51" s="182"/>
      <c r="D51" s="182" t="s">
        <v>46</v>
      </c>
      <c r="E51" s="182" t="s">
        <v>47</v>
      </c>
      <c r="F51" s="182">
        <v>0.3</v>
      </c>
      <c r="G51" s="182">
        <v>0.36</v>
      </c>
      <c r="H51" s="183" t="s">
        <v>15</v>
      </c>
    </row>
    <row r="52" spans="1:8" x14ac:dyDescent="0.3">
      <c r="A52" s="156" t="s">
        <v>117</v>
      </c>
      <c r="B52" s="157"/>
      <c r="C52" s="158"/>
      <c r="D52" s="158"/>
      <c r="E52" s="158"/>
      <c r="F52" s="158"/>
      <c r="G52" s="158"/>
      <c r="H52" s="159" t="s">
        <v>16</v>
      </c>
    </row>
    <row r="53" spans="1:8" x14ac:dyDescent="0.3">
      <c r="A53" s="92" t="s">
        <v>118</v>
      </c>
      <c r="B53" s="93" t="s">
        <v>118</v>
      </c>
      <c r="C53" s="154"/>
      <c r="D53" s="154"/>
      <c r="E53" s="154"/>
      <c r="F53" s="154"/>
      <c r="G53" s="154"/>
      <c r="H53" s="155" t="s">
        <v>16</v>
      </c>
    </row>
    <row r="54" spans="1:8" x14ac:dyDescent="0.3">
      <c r="A54" s="141" t="s">
        <v>119</v>
      </c>
      <c r="B54" s="142"/>
      <c r="C54" s="94"/>
      <c r="D54" s="94" t="s">
        <v>46</v>
      </c>
      <c r="E54" s="94" t="s">
        <v>47</v>
      </c>
      <c r="F54" s="94">
        <v>0.6</v>
      </c>
      <c r="G54" s="94">
        <v>0.72</v>
      </c>
      <c r="H54" s="95" t="s">
        <v>15</v>
      </c>
    </row>
    <row r="55" spans="1:8" x14ac:dyDescent="0.3">
      <c r="A55" s="186" t="s">
        <v>120</v>
      </c>
      <c r="B55" s="187" t="s">
        <v>121</v>
      </c>
      <c r="C55" s="173"/>
      <c r="D55" s="173" t="s">
        <v>46</v>
      </c>
      <c r="E55" s="173" t="s">
        <v>47</v>
      </c>
      <c r="F55" s="173">
        <v>0.6</v>
      </c>
      <c r="G55" s="173">
        <v>0.72</v>
      </c>
      <c r="H55" s="175" t="s">
        <v>15</v>
      </c>
    </row>
    <row r="56" spans="1:8" x14ac:dyDescent="0.3">
      <c r="A56" s="145" t="s">
        <v>122</v>
      </c>
      <c r="B56" s="146" t="s">
        <v>123</v>
      </c>
      <c r="C56" s="148"/>
      <c r="D56" s="148" t="s">
        <v>46</v>
      </c>
      <c r="E56" s="148" t="s">
        <v>47</v>
      </c>
      <c r="F56" s="148">
        <v>0.6</v>
      </c>
      <c r="G56" s="148">
        <v>0.72</v>
      </c>
      <c r="H56" s="149" t="s">
        <v>15</v>
      </c>
    </row>
  </sheetData>
  <autoFilter ref="H1:H56" xr:uid="{00000000-0009-0000-0000-00000E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7"/>
  <sheetViews>
    <sheetView zoomScaleNormal="100" workbookViewId="0">
      <selection activeCell="S26" sqref="S26"/>
    </sheetView>
  </sheetViews>
  <sheetFormatPr defaultColWidth="9.109375" defaultRowHeight="13.2" x14ac:dyDescent="0.25"/>
  <cols>
    <col min="1" max="1" width="14.109375" style="6" bestFit="1" customWidth="1"/>
    <col min="2" max="2" width="1.6640625" style="6" customWidth="1"/>
    <col min="3" max="3" width="30.109375" style="6" customWidth="1"/>
    <col min="4" max="4" width="1.6640625"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bestFit="1"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
        <v>436</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Instructions!P4</f>
        <v>0</v>
      </c>
      <c r="D5" s="41"/>
      <c r="E5" s="12"/>
      <c r="F5" s="12"/>
      <c r="G5" s="13"/>
      <c r="H5" s="14"/>
      <c r="I5" s="14" t="s">
        <v>4</v>
      </c>
      <c r="J5" s="15">
        <f ca="1" xml:space="preserve"> TODAY()</f>
        <v>44474</v>
      </c>
    </row>
    <row r="6" spans="1:10" ht="6" customHeight="1" x14ac:dyDescent="0.25">
      <c r="A6" s="11"/>
      <c r="B6" s="11"/>
      <c r="C6" s="16"/>
      <c r="D6" s="16"/>
      <c r="E6" s="12"/>
      <c r="F6" s="12"/>
      <c r="G6" s="13"/>
      <c r="H6" s="14"/>
      <c r="I6" s="14"/>
      <c r="J6" s="15"/>
    </row>
    <row r="7" spans="1:10" x14ac:dyDescent="0.25">
      <c r="A7" s="11" t="s">
        <v>3</v>
      </c>
      <c r="B7" s="11"/>
      <c r="C7" s="383">
        <f>Instructions!P5</f>
        <v>0</v>
      </c>
      <c r="D7" s="383"/>
      <c r="E7" s="383"/>
      <c r="F7" s="383"/>
      <c r="G7" s="383"/>
      <c r="H7" s="253"/>
      <c r="I7" s="253" t="s">
        <v>140</v>
      </c>
      <c r="J7" s="1" t="s">
        <v>5</v>
      </c>
    </row>
    <row r="8" spans="1:10" ht="6" customHeight="1" x14ac:dyDescent="0.25">
      <c r="A8" s="11"/>
      <c r="B8" s="11"/>
      <c r="C8" s="16"/>
      <c r="D8" s="16"/>
      <c r="E8" s="16"/>
      <c r="F8" s="16"/>
      <c r="G8" s="16"/>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0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6.4" customHeight="1" thickBot="1" x14ac:dyDescent="0.3">
      <c r="A14" s="325" t="s">
        <v>185</v>
      </c>
      <c r="B14" s="19"/>
      <c r="C14" s="19" t="s">
        <v>167</v>
      </c>
      <c r="D14" s="19"/>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3"/>
      <c r="E15" s="372"/>
      <c r="F15" s="25"/>
      <c r="G15" s="359"/>
      <c r="H15" s="26" t="str">
        <f>IFERROR(VLOOKUP(C15,inputSchA!$A$2:$F$105,6,FALSE),"")</f>
        <v/>
      </c>
      <c r="I15" s="361" t="str">
        <f>IFERROR(H15/G15,"")</f>
        <v/>
      </c>
      <c r="J15" s="26" t="str">
        <f>IF(AND(ISNUMBER(E15),ISNUMBER(H15)),E15*H15,"-")</f>
        <v>-</v>
      </c>
    </row>
    <row r="16" spans="1:10" ht="6" customHeight="1" x14ac:dyDescent="0.25">
      <c r="A16" s="352"/>
      <c r="B16" s="299"/>
      <c r="C16" s="348"/>
      <c r="D16" s="23"/>
      <c r="E16" s="330"/>
      <c r="F16" s="25"/>
      <c r="G16" s="27"/>
      <c r="H16" s="26"/>
      <c r="I16" s="361"/>
      <c r="J16" s="26"/>
    </row>
    <row r="17" spans="1:13" ht="13.8" x14ac:dyDescent="0.3">
      <c r="A17" s="300"/>
      <c r="B17" s="299"/>
      <c r="C17" s="347"/>
      <c r="D17" s="23"/>
      <c r="E17" s="358"/>
      <c r="F17" s="25"/>
      <c r="G17" s="359"/>
      <c r="H17" s="26" t="str">
        <f>IFERROR(VLOOKUP(C17,inputSchA!$A$2:$F$105,6,FALSE),"")</f>
        <v/>
      </c>
      <c r="I17" s="361" t="str">
        <f>IFERROR(H17/G17,"")</f>
        <v/>
      </c>
      <c r="J17" s="26" t="str">
        <f>IF(AND(ISNUMBER(E17),ISNUMBER(H17)),E17*H17,"-")</f>
        <v>-</v>
      </c>
    </row>
    <row r="18" spans="1:13" ht="6" customHeight="1" x14ac:dyDescent="0.25">
      <c r="A18" s="352"/>
      <c r="B18" s="299"/>
      <c r="C18" s="348"/>
      <c r="D18" s="23"/>
      <c r="E18" s="331"/>
      <c r="F18" s="25"/>
      <c r="G18" s="26"/>
      <c r="H18" s="26"/>
      <c r="I18" s="361"/>
      <c r="J18" s="26"/>
    </row>
    <row r="19" spans="1:13" ht="13.8" x14ac:dyDescent="0.3">
      <c r="A19" s="300"/>
      <c r="B19" s="299"/>
      <c r="C19" s="347"/>
      <c r="D19" s="23"/>
      <c r="E19" s="358"/>
      <c r="F19" s="25"/>
      <c r="G19" s="359"/>
      <c r="H19" s="26" t="str">
        <f>IFERROR(VLOOKUP(C19,inputSchA!$A$2:$F$105,6,FALSE),"")</f>
        <v/>
      </c>
      <c r="I19" s="361" t="str">
        <f>IFERROR(H19/G19,"")</f>
        <v/>
      </c>
      <c r="J19" s="26" t="str">
        <f>IF(AND(ISNUMBER(E19),ISNUMBER(H19)),E19*H19,"-")</f>
        <v>-</v>
      </c>
    </row>
    <row r="20" spans="1:13" ht="6" customHeight="1" x14ac:dyDescent="0.25">
      <c r="A20" s="352"/>
      <c r="B20" s="299"/>
      <c r="C20" s="348"/>
      <c r="D20" s="23"/>
      <c r="E20" s="331"/>
      <c r="F20" s="25"/>
      <c r="G20" s="26"/>
      <c r="H20" s="26"/>
      <c r="I20" s="361"/>
      <c r="J20" s="26"/>
    </row>
    <row r="21" spans="1:13" ht="13.8" x14ac:dyDescent="0.3">
      <c r="A21" s="300"/>
      <c r="B21" s="299"/>
      <c r="C21" s="347"/>
      <c r="D21" s="23"/>
      <c r="E21" s="358"/>
      <c r="F21" s="25"/>
      <c r="G21" s="359"/>
      <c r="H21" s="26" t="str">
        <f>IFERROR(VLOOKUP(C21,inputSchA!$A$2:$F$105,6,FALSE),"")</f>
        <v/>
      </c>
      <c r="I21" s="361" t="str">
        <f>IFERROR(H21/G21,"")</f>
        <v/>
      </c>
      <c r="J21" s="26" t="str">
        <f>IF(AND(ISNUMBER(E21),ISNUMBER(H21)),E21*H21,"-")</f>
        <v>-</v>
      </c>
    </row>
    <row r="22" spans="1:13" ht="6" customHeight="1" x14ac:dyDescent="0.25">
      <c r="A22" s="352"/>
      <c r="B22" s="299"/>
      <c r="C22" s="348"/>
      <c r="D22" s="23"/>
      <c r="E22" s="331"/>
      <c r="F22" s="25"/>
      <c r="G22" s="26"/>
      <c r="H22" s="26"/>
      <c r="I22" s="361"/>
      <c r="J22" s="26"/>
    </row>
    <row r="23" spans="1:13" ht="13.8" x14ac:dyDescent="0.3">
      <c r="A23" s="300"/>
      <c r="B23" s="299"/>
      <c r="C23" s="347"/>
      <c r="D23" s="23" t="str">
        <f>IFERROR(VLOOKUP(C23,inputSchA!$A$2:$F$105,3,FALSE),"")</f>
        <v/>
      </c>
      <c r="E23" s="358"/>
      <c r="F23" s="25"/>
      <c r="G23" s="359"/>
      <c r="H23" s="26" t="str">
        <f>IFERROR(VLOOKUP(C23,inputSchA!$A$2:$F$105,6,FALSE),"")</f>
        <v/>
      </c>
      <c r="I23" s="361" t="str">
        <f>IFERROR(H23/G23,"")</f>
        <v/>
      </c>
      <c r="J23" s="26" t="str">
        <f>IF(AND(ISNUMBER(E23),ISNUMBER(H23)),E23*H23,"-")</f>
        <v>-</v>
      </c>
    </row>
    <row r="24" spans="1:13" ht="6" customHeight="1" x14ac:dyDescent="0.25">
      <c r="A24" s="352"/>
      <c r="B24" s="299"/>
      <c r="C24" s="348"/>
      <c r="D24" s="23"/>
      <c r="E24" s="331"/>
      <c r="F24" s="25"/>
      <c r="G24" s="26"/>
      <c r="H24" s="26"/>
      <c r="I24" s="361"/>
      <c r="J24" s="26"/>
    </row>
    <row r="25" spans="1:13" ht="13.8" x14ac:dyDescent="0.3">
      <c r="A25" s="300"/>
      <c r="B25" s="299"/>
      <c r="C25" s="347"/>
      <c r="D25" s="23" t="str">
        <f>IFERROR(VLOOKUP(C25,inputSchA!$A$2:$F$105,3,FALSE),"")</f>
        <v/>
      </c>
      <c r="E25" s="358"/>
      <c r="F25" s="25"/>
      <c r="G25" s="359"/>
      <c r="H25" s="26" t="str">
        <f>IFERROR(VLOOKUP(C25,inputSchA!$A$2:$F$105,6,FALSE),"")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3" t="str">
        <f>IFERROR(VLOOKUP(C31,inputSchA!$A$2:$F$105,3,FALSE),"")</f>
        <v/>
      </c>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3" t="str">
        <f>IFERROR(VLOOKUP(C33,inputSchA!$A$2:$F$105,3,FALSE),"")</f>
        <v/>
      </c>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3" t="str">
        <f>IFERROR(VLOOKUP(C35,inputSchA!$A$2:$F$105,3,FALSE),"")</f>
        <v/>
      </c>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57"/>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57"/>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3.2" customHeight="1" x14ac:dyDescent="0.25">
      <c r="A68" s="399" t="s">
        <v>432</v>
      </c>
      <c r="B68" s="399"/>
      <c r="C68" s="399"/>
      <c r="D68" s="399"/>
      <c r="E68" s="399"/>
      <c r="F68" s="399"/>
      <c r="G68" s="399"/>
      <c r="H68" s="399"/>
      <c r="I68" s="399"/>
      <c r="J68" s="399"/>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152">
        <f>+C5</f>
        <v>0</v>
      </c>
      <c r="D72" s="152"/>
      <c r="E72" s="12"/>
      <c r="F72" s="12"/>
      <c r="G72" s="13"/>
      <c r="H72" s="14"/>
      <c r="I72" s="14" t="s">
        <v>4</v>
      </c>
      <c r="J72" s="15">
        <f ca="1" xml:space="preserve"> TODAY()</f>
        <v>44474</v>
      </c>
    </row>
    <row r="73" spans="1:10" ht="4.5" customHeight="1" x14ac:dyDescent="0.25">
      <c r="A73" s="11"/>
      <c r="B73" s="11"/>
      <c r="C73" s="152"/>
      <c r="D73" s="152"/>
      <c r="E73" s="12"/>
      <c r="F73" s="12"/>
      <c r="G73" s="13"/>
      <c r="H73" s="14"/>
      <c r="I73" s="14"/>
      <c r="J73" s="15"/>
    </row>
    <row r="74" spans="1:10" x14ac:dyDescent="0.25">
      <c r="A74" s="11" t="s">
        <v>3</v>
      </c>
      <c r="B74" s="11"/>
      <c r="C74" s="389">
        <f>+C7</f>
        <v>0</v>
      </c>
      <c r="D74" s="389"/>
      <c r="E74" s="389"/>
      <c r="F74" s="389"/>
      <c r="G74" s="389"/>
      <c r="H74" s="14"/>
      <c r="I74" s="14" t="str">
        <f>+I7</f>
        <v xml:space="preserve">Schedule: </v>
      </c>
      <c r="J74" s="17" t="str">
        <f>+J7</f>
        <v>A</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152">
        <f>+C5</f>
        <v>0</v>
      </c>
      <c r="D136" s="152"/>
      <c r="E136" s="12"/>
      <c r="F136" s="12"/>
      <c r="G136" s="13"/>
      <c r="H136" s="14"/>
      <c r="I136" s="14" t="s">
        <v>4</v>
      </c>
      <c r="J136" s="15">
        <f ca="1" xml:space="preserve"> TODAY()</f>
        <v>44474</v>
      </c>
    </row>
    <row r="137" spans="1:10" ht="3.75" customHeight="1" x14ac:dyDescent="0.25">
      <c r="A137" s="11"/>
      <c r="B137" s="11"/>
      <c r="C137" s="152"/>
      <c r="D137" s="152"/>
      <c r="E137" s="12"/>
      <c r="F137" s="12"/>
      <c r="G137" s="13"/>
      <c r="H137" s="14"/>
      <c r="I137" s="14"/>
      <c r="J137" s="15"/>
    </row>
    <row r="138" spans="1:10" x14ac:dyDescent="0.25">
      <c r="A138" s="11" t="s">
        <v>3</v>
      </c>
      <c r="B138" s="11"/>
      <c r="C138" s="389">
        <f>+C7</f>
        <v>0</v>
      </c>
      <c r="D138" s="389"/>
      <c r="E138" s="389"/>
      <c r="F138" s="389"/>
      <c r="G138" s="389"/>
      <c r="H138" s="14"/>
      <c r="I138" s="14" t="str">
        <f>+I7</f>
        <v xml:space="preserve">Schedule: </v>
      </c>
      <c r="J138" s="17" t="str">
        <f>+J7</f>
        <v>A</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8">
    <mergeCell ref="D148:D149"/>
    <mergeCell ref="A143:C143"/>
    <mergeCell ref="A133:J133"/>
    <mergeCell ref="C138:G138"/>
    <mergeCell ref="A145:C145"/>
    <mergeCell ref="A69:J69"/>
    <mergeCell ref="C74:G74"/>
    <mergeCell ref="A51:H51"/>
    <mergeCell ref="D127:D129"/>
    <mergeCell ref="A123:C123"/>
    <mergeCell ref="D80:D89"/>
    <mergeCell ref="D91:D99"/>
    <mergeCell ref="D104:D108"/>
    <mergeCell ref="D101:D102"/>
    <mergeCell ref="D110:D112"/>
    <mergeCell ref="D114:D115"/>
    <mergeCell ref="D117:D119"/>
    <mergeCell ref="D121:D122"/>
    <mergeCell ref="D124:D125"/>
    <mergeCell ref="A68:J68"/>
    <mergeCell ref="A1:J1"/>
    <mergeCell ref="A42:J42"/>
    <mergeCell ref="C7:G7"/>
    <mergeCell ref="A27:J27"/>
    <mergeCell ref="A41:J41"/>
    <mergeCell ref="A38:H38"/>
    <mergeCell ref="A12:J12"/>
    <mergeCell ref="A28:J28"/>
  </mergeCells>
  <conditionalFormatting sqref="H15">
    <cfRule type="expression" dxfId="6" priority="6">
      <formula>AND($H15=0,$E15&gt;0)=TRUE</formula>
    </cfRule>
  </conditionalFormatting>
  <conditionalFormatting sqref="H25 H23 H21 H19 H17">
    <cfRule type="expression" dxfId="5" priority="1">
      <formula>AND($H17=0,$E17&gt;0)=TRUE</formula>
    </cfRule>
  </conditionalFormatting>
  <dataValidations xWindow="885" yWindow="630" count="16">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100-000000000000}">
      <formula1>0</formula1>
    </dataValidation>
    <dataValidation allowBlank="1" sqref="C72:D72 C136:D136" xr:uid="{00000000-0002-0000-0100-000001000000}"/>
    <dataValidation allowBlank="1" showErrorMessage="1" sqref="C83" xr:uid="{00000000-0002-0000-0100-000002000000}"/>
    <dataValidation type="whole" operator="greaterThanOrEqual" allowBlank="1" showInputMessage="1" showErrorMessage="1" error="Bid decimals set to zero._x000a__x000a_Contact Heidi Hirsbrunner (X3622)_x000a_                   _x000a_to modify Incentive Spreadsheet." sqref="E80:E89 E104:E108" xr:uid="{00000000-0002-0000-0100-000003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100-000004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100-000005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100-000006000000}">
      <formula1>0</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100-000007000000}">
      <formula1>0</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100-000008000000}">
      <formula1>"  , A, B, C, D, E, F, G, W, X, Y, Z"</formula1>
    </dataValidation>
    <dataValidation type="list" allowBlank="1" showInputMessage="1" showErrorMessage="1" error="Please use the drop-down menu to select the project units" promptTitle="Select Units" prompt="Select Metric or US Customary" sqref="J9" xr:uid="{00000000-0002-0000-0100-000009000000}">
      <formula1>"METRIC, US CUSTOMARY"</formula1>
    </dataValidation>
    <dataValidation type="list" allowBlank="1" showErrorMessage="1" error="Please use the drop-down menu to select the FP version" promptTitle="Select FP Version" prompt="Select FP-03 or FP-14" sqref="E3" xr:uid="{00000000-0002-0000-0100-00000A000000}">
      <formula1>" , FP-03, FP-14"</formula1>
    </dataValidation>
    <dataValidation allowBlank="1" showErrorMessage="1" promptTitle="Enter project number" prompt="Example:  CA FTNP JOTR 11(5)" sqref="C5:D5" xr:uid="{00000000-0002-0000-0100-00000B000000}"/>
    <dataValidation allowBlank="1" showErrorMessage="1" promptTitle="Enter project name" prompt="Example:  Pinto Basin Road" sqref="C7:G7" xr:uid="{00000000-0002-0000-0100-00000C000000}"/>
    <dataValidation type="list" allowBlank="1" showInputMessage="1" showErrorMessage="1" promptTitle="Select Schedule Type " prompt="Select Schedule or Option " sqref="I7" xr:uid="{00000000-0002-0000-0100-00000D000000}">
      <formula1>", Schedule: , Option: "</formula1>
    </dataValidation>
    <dataValidation type="list" allowBlank="1" showErrorMessage="1" promptTitle="Select Schedule Type " prompt="Select Schedule or Option " sqref="H7" xr:uid="{00000000-0002-0000-0100-00000F000000}">
      <formula1>", Schedule: , Option: "</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H15 H17 H19 H21 H23 H25" xr:uid="{00000000-0002-0000-0100-000010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xWindow="885" yWindow="630" count="3">
        <x14:dataValidation type="list" allowBlank="1" showInputMessage="1" showErrorMessage="1" xr:uid="{00000000-0002-0000-0100-000011000000}">
          <x14:formula1>
            <xm:f>inputSchA!$A$106:$A$134</xm:f>
          </x14:formula1>
          <xm:sqref>C31 C33 C35</xm:sqref>
        </x14:dataValidation>
        <x14:dataValidation type="list" allowBlank="1" showInputMessage="1" showErrorMessage="1" xr:uid="{00000000-0002-0000-0100-000012000000}">
          <x14:formula1>
            <xm:f>inputSchA!$A$134:$A$150</xm:f>
          </x14:formula1>
          <xm:sqref>A45 A47 A49</xm:sqref>
        </x14:dataValidation>
        <x14:dataValidation type="list" allowBlank="1" showInputMessage="1" showErrorMessage="1" xr:uid="{00000000-0002-0000-0100-000013000000}">
          <x14:formula1>
            <xm:f>inputSchA!$A$2:$A$105</xm:f>
          </x14:formula1>
          <xm:sqref>C15 C17 C19 C21 C23 C25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0"/>
  <sheetViews>
    <sheetView tabSelected="1" workbookViewId="0">
      <pane xSplit="3" ySplit="1" topLeftCell="D77" activePane="bottomRight" state="frozen"/>
      <selection activeCell="F3" sqref="F3"/>
      <selection pane="topRight" activeCell="F3" sqref="F3"/>
      <selection pane="bottomLeft" activeCell="F3" sqref="F3"/>
      <selection pane="bottomRight" activeCell="L151" sqref="L151"/>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A'!$C$15:$E$25,3,FALSE),"")</f>
        <v/>
      </c>
      <c r="E2" s="360" t="str">
        <f>IFERROR(VLOOKUP($A2,'SCH A'!$C$15:$G$25,5,FALSE),"")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A'!$C$15:$E$25,3,FALSE),"")</f>
        <v/>
      </c>
      <c r="E3" s="360" t="str">
        <f>IFERROR(VLOOKUP($A3,'SCH A'!$C$15:$G$25,5,FALSE),"")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A'!$C$15:$E$25,3,FALSE),"")</f>
        <v/>
      </c>
      <c r="E4" s="360" t="str">
        <f>IFERROR(VLOOKUP($A4,'SCH A'!$C$15:$G$25,5,FALSE),"")</f>
        <v/>
      </c>
      <c r="F4" s="26" t="e">
        <f t="shared" si="0"/>
        <v>#VALUE!</v>
      </c>
    </row>
    <row r="5" spans="1:6" x14ac:dyDescent="0.3">
      <c r="A5" s="327" t="s">
        <v>192</v>
      </c>
      <c r="B5" s="327" t="s">
        <v>250</v>
      </c>
      <c r="C5" s="329" t="s">
        <v>247</v>
      </c>
      <c r="D5" s="345" t="str">
        <f>IFERROR(VLOOKUP($A5,'SCH A'!$C$15:$E$25,3,FALSE),"")</f>
        <v/>
      </c>
      <c r="E5" s="360" t="str">
        <f>IFERROR(VLOOKUP($A5,'SCH A'!$C$15:$G$25,5,FALSE),"")</f>
        <v/>
      </c>
      <c r="F5" s="26" t="e">
        <f t="shared" si="0"/>
        <v>#VALUE!</v>
      </c>
    </row>
    <row r="6" spans="1:6" x14ac:dyDescent="0.3">
      <c r="A6" s="326" t="s">
        <v>193</v>
      </c>
      <c r="B6" s="326" t="s">
        <v>251</v>
      </c>
      <c r="C6" s="328" t="s">
        <v>247</v>
      </c>
      <c r="D6" s="345" t="str">
        <f>IFERROR(VLOOKUP($A6,'SCH A'!$C$15:$E$25,3,FALSE),"")</f>
        <v/>
      </c>
      <c r="E6" s="360" t="str">
        <f>IFERROR(VLOOKUP($A6,'SCH A'!$C$15:$G$25,5,FALSE),"")</f>
        <v/>
      </c>
      <c r="F6" s="26" t="e">
        <f t="shared" si="0"/>
        <v>#VALUE!</v>
      </c>
    </row>
    <row r="7" spans="1:6" x14ac:dyDescent="0.3">
      <c r="A7" s="327" t="s">
        <v>194</v>
      </c>
      <c r="B7" s="327" t="s">
        <v>246</v>
      </c>
      <c r="C7" s="329" t="s">
        <v>46</v>
      </c>
      <c r="D7" s="345" t="str">
        <f>IFERROR(VLOOKUP($A7,'SCH A'!$C$15:$E$25,3,FALSE),"")</f>
        <v/>
      </c>
      <c r="E7" s="360" t="str">
        <f>IFERROR(VLOOKUP($A7,'SCH A'!$C$15:$G$25,5,FALSE),"")</f>
        <v/>
      </c>
      <c r="F7" s="346"/>
    </row>
    <row r="8" spans="1:6" x14ac:dyDescent="0.3">
      <c r="A8" s="326" t="s">
        <v>195</v>
      </c>
      <c r="B8" s="326" t="s">
        <v>252</v>
      </c>
      <c r="C8" s="328" t="s">
        <v>46</v>
      </c>
      <c r="D8" s="345" t="str">
        <f>IFERROR(VLOOKUP($A8,'SCH A'!$C$15:$E$25,3,FALSE),"")</f>
        <v/>
      </c>
      <c r="E8" s="360" t="str">
        <f>IFERROR(VLOOKUP($A8,'SCH A'!$C$15:$G$25,5,FALSE),"")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A'!$C$15:$E$25,3,FALSE),"")</f>
        <v/>
      </c>
      <c r="E9" s="360" t="str">
        <f>IFERROR(VLOOKUP($A9,'SCH A'!$C$15:$G$25,5,FALSE),"")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A'!$C$15:$E$25,3,FALSE),"")</f>
        <v/>
      </c>
      <c r="E10" s="360" t="str">
        <f>IFERROR(VLOOKUP($A10,'SCH A'!$C$15:$G$25,5,FALSE),"")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A'!$C$15:$E$25,3,FALSE),"")</f>
        <v/>
      </c>
      <c r="E11" s="360" t="str">
        <f>IFERROR(VLOOKUP($A11,'SCH A'!$C$15:$G$25,5,FALSE),"")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A'!$C$15:$E$25,3,FALSE),"")</f>
        <v/>
      </c>
      <c r="E12" s="360" t="str">
        <f>IFERROR(VLOOKUP($A12,'SCH A'!$C$15:$G$25,5,FALSE),"")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A'!$C$15:$E$25,3,FALSE),"")</f>
        <v/>
      </c>
      <c r="E13" s="360" t="str">
        <f>IFERROR(VLOOKUP($A13,'SCH A'!$C$15:$G$25,5,FALSE),"")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A'!$C$15:$E$25,3,FALSE),"")</f>
        <v/>
      </c>
      <c r="E14" s="360" t="str">
        <f>IFERROR(VLOOKUP($A14,'SCH A'!$C$15:$G$25,5,FALSE),"")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A'!$C$15:$E$25,3,FALSE),"")</f>
        <v/>
      </c>
      <c r="E15" s="360" t="str">
        <f>IFERROR(VLOOKUP($A15,'SCH A'!$C$15:$G$25,5,FALSE),"")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A'!$C$15:$E$25,3,FALSE),"")</f>
        <v/>
      </c>
      <c r="E16" s="360" t="str">
        <f>IFERROR(VLOOKUP($A16,'SCH A'!$C$15:$G$25,5,FALSE),"")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A'!$C$15:$E$25,3,FALSE),"")</f>
        <v/>
      </c>
      <c r="E17" s="360" t="str">
        <f>IFERROR(VLOOKUP($A17,'SCH A'!$C$15:$G$25,5,FALSE),"")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A'!$C$15:$E$25,3,FALSE),"")</f>
        <v/>
      </c>
      <c r="E18" s="360" t="str">
        <f>IFERROR(VLOOKUP($A18,'SCH A'!$C$15:$G$25,5,FALSE),"")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A'!$C$15:$E$25,3,FALSE),"")</f>
        <v/>
      </c>
      <c r="E19" s="360" t="str">
        <f>IFERROR(VLOOKUP($A19,'SCH A'!$C$15:$G$25,5,FALSE),"")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A'!$C$15:$E$25,3,FALSE),"")</f>
        <v/>
      </c>
      <c r="E20" s="360" t="str">
        <f>IFERROR(VLOOKUP($A20,'SCH A'!$C$15:$G$25,5,FALSE),"")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A'!$C$15:$E$25,3,FALSE),"")</f>
        <v/>
      </c>
      <c r="E21" s="360" t="str">
        <f>IFERROR(VLOOKUP($A21,'SCH A'!$C$15:$G$25,5,FALSE),"")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A'!$C$15:$E$25,3,FALSE),"")</f>
        <v/>
      </c>
      <c r="E22" s="360" t="str">
        <f>IFERROR(VLOOKUP($A22,'SCH A'!$C$15:$G$25,5,FALSE),"")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A'!$C$15:$E$25,3,FALSE),"")</f>
        <v/>
      </c>
      <c r="E23" s="360" t="str">
        <f>IFERROR(VLOOKUP($A23,'SCH A'!$C$15:$G$25,5,FALSE),"")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A'!$C$15:$E$25,3,FALSE),"")</f>
        <v/>
      </c>
      <c r="E24" s="360" t="str">
        <f>IFERROR(VLOOKUP($A24,'SCH A'!$C$15:$G$25,5,FALSE),"")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A'!$C$15:$E$25,3,FALSE),"")</f>
        <v/>
      </c>
      <c r="E25" s="360" t="str">
        <f>IFERROR(VLOOKUP($A25,'SCH A'!$C$15:$G$25,5,FALSE),"")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A'!$C$15:$E$25,3,FALSE),"")</f>
        <v/>
      </c>
      <c r="E26" s="360" t="str">
        <f>IFERROR(VLOOKUP($A26,'SCH A'!$C$15:$G$25,5,FALSE),"")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A'!$C$15:$E$25,3,FALSE),"")</f>
        <v/>
      </c>
      <c r="E27" s="360" t="str">
        <f>IFERROR(VLOOKUP($A27,'SCH A'!$C$15:$G$25,5,FALSE),"")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A'!$C$15:$E$25,3,FALSE),"")</f>
        <v/>
      </c>
      <c r="E28" s="360" t="str">
        <f>IFERROR(VLOOKUP($A28,'SCH A'!$C$15:$G$25,5,FALSE),"")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A'!$C$15:$E$25,3,FALSE),"")</f>
        <v/>
      </c>
      <c r="E29" s="360" t="str">
        <f>IFERROR(VLOOKUP($A29,'SCH A'!$C$15:$G$25,5,FALSE),"")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A'!$C$15:$E$25,3,FALSE),"")</f>
        <v/>
      </c>
      <c r="E30" s="360" t="str">
        <f>IFERROR(VLOOKUP($A30,'SCH A'!$C$15:$G$25,5,FALSE),"")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A'!$C$15:$E$25,3,FALSE),"")</f>
        <v/>
      </c>
      <c r="E31" s="360" t="str">
        <f>IFERROR(VLOOKUP($A31,'SCH A'!$C$15:$G$25,5,FALSE),"")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A'!$C$15:$E$25,3,FALSE),"")</f>
        <v/>
      </c>
      <c r="E32" s="360" t="str">
        <f>IFERROR(VLOOKUP($A32,'SCH A'!$C$15:$G$25,5,FALSE),"")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A'!$C$15:$E$25,3,FALSE),"")</f>
        <v/>
      </c>
      <c r="E33" s="360" t="str">
        <f>IFERROR(VLOOKUP($A33,'SCH A'!$C$15:$G$25,5,FALSE),"")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A'!$C$15:$E$25,3,FALSE),"")</f>
        <v/>
      </c>
      <c r="E34" s="360" t="str">
        <f>IFERROR(VLOOKUP($A34,'SCH A'!$C$15:$G$25,5,FALSE),"")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A'!$C$15:$E$25,3,FALSE),"")</f>
        <v/>
      </c>
      <c r="E35" s="360" t="str">
        <f>IFERROR(VLOOKUP($A35,'SCH A'!$C$15:$G$25,5,FALSE),"")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A'!$C$15:$E$25,3,FALSE),"")</f>
        <v/>
      </c>
      <c r="E36" s="360" t="str">
        <f>IFERROR(VLOOKUP($A36,'SCH A'!$C$15:$G$25,5,FALSE),"")</f>
        <v/>
      </c>
      <c r="F36" s="26" t="e">
        <f t="shared" si="1"/>
        <v>#VALUE!</v>
      </c>
    </row>
    <row r="37" spans="1:6" x14ac:dyDescent="0.3">
      <c r="A37" s="327" t="s">
        <v>187</v>
      </c>
      <c r="B37" s="327" t="s">
        <v>251</v>
      </c>
      <c r="C37" s="329" t="s">
        <v>277</v>
      </c>
      <c r="D37" s="345" t="str">
        <f>IFERROR(VLOOKUP($A37,'SCH A'!$C$15:$E$25,3,FALSE),"")</f>
        <v/>
      </c>
      <c r="E37" s="360" t="str">
        <f>IFERROR(VLOOKUP($A37,'SCH A'!$C$15:$G$25,5,FALSE),"")</f>
        <v/>
      </c>
      <c r="F37" s="26" t="e">
        <f t="shared" si="1"/>
        <v>#VALUE!</v>
      </c>
    </row>
    <row r="38" spans="1:6" x14ac:dyDescent="0.3">
      <c r="A38" s="326" t="s">
        <v>224</v>
      </c>
      <c r="B38" s="326" t="s">
        <v>278</v>
      </c>
      <c r="C38" s="328" t="s">
        <v>247</v>
      </c>
      <c r="D38" s="345" t="str">
        <f>IFERROR(VLOOKUP($A38,'SCH A'!$C$15:$E$25,3,FALSE),"")</f>
        <v/>
      </c>
      <c r="E38" s="360" t="str">
        <f>IFERROR(VLOOKUP($A38,'SCH A'!$C$15:$G$25,5,FALSE),"")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A'!$C$15:$E$25,3,FALSE),"")</f>
        <v/>
      </c>
      <c r="E39" s="360" t="str">
        <f>IFERROR(VLOOKUP($A39,'SCH A'!$C$15:$G$25,5,FALSE),"")</f>
        <v/>
      </c>
      <c r="F39" s="26" t="e">
        <f t="shared" si="2"/>
        <v>#VALUE!</v>
      </c>
    </row>
    <row r="40" spans="1:6" x14ac:dyDescent="0.3">
      <c r="A40" s="326" t="s">
        <v>226</v>
      </c>
      <c r="B40" s="326" t="s">
        <v>280</v>
      </c>
      <c r="C40" s="328" t="s">
        <v>247</v>
      </c>
      <c r="D40" s="345" t="str">
        <f>IFERROR(VLOOKUP($A40,'SCH A'!$C$15:$E$25,3,FALSE),"")</f>
        <v/>
      </c>
      <c r="E40" s="360" t="str">
        <f>IFERROR(VLOOKUP($A40,'SCH A'!$C$15:$G$25,5,FALSE),"")</f>
        <v/>
      </c>
      <c r="F40" s="26" t="e">
        <f t="shared" si="2"/>
        <v>#VALUE!</v>
      </c>
    </row>
    <row r="41" spans="1:6" x14ac:dyDescent="0.3">
      <c r="A41" s="327" t="s">
        <v>227</v>
      </c>
      <c r="B41" s="327" t="s">
        <v>281</v>
      </c>
      <c r="C41" s="329" t="s">
        <v>46</v>
      </c>
      <c r="D41" s="345" t="str">
        <f>IFERROR(VLOOKUP($A41,'SCH A'!$C$15:$E$25,3,FALSE),"")</f>
        <v/>
      </c>
      <c r="E41" s="360" t="str">
        <f>IFERROR(VLOOKUP($A41,'SCH A'!$C$15:$G$25,5,FALSE),"")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A'!$C$15:$E$25,3,FALSE),"")</f>
        <v/>
      </c>
      <c r="E42" s="360" t="str">
        <f>IFERROR(VLOOKUP($A42,'SCH A'!$C$15:$G$25,5,FALSE),"")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A'!$C$15:$E$25,3,FALSE),"")</f>
        <v/>
      </c>
      <c r="E43" s="360" t="str">
        <f>IFERROR(VLOOKUP($A43,'SCH A'!$C$15:$G$25,5,FALSE),"")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A'!$C$15:$E$25,3,FALSE),"")</f>
        <v/>
      </c>
      <c r="E44" s="360" t="str">
        <f>IFERROR(VLOOKUP($A44,'SCH A'!$C$15:$G$25,5,FALSE),"")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A'!$C$15:$E$25,3,FALSE),"")</f>
        <v/>
      </c>
      <c r="E45" s="360" t="str">
        <f>IFERROR(VLOOKUP($A45,'SCH A'!$C$15:$G$25,5,FALSE),"")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A'!$C$15:$E$25,3,FALSE),"")</f>
        <v/>
      </c>
      <c r="E46" s="360" t="str">
        <f>IFERROR(VLOOKUP($A46,'SCH A'!$C$15:$G$25,5,FALSE),"")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A'!$C$15:$E$25,3,FALSE),"")</f>
        <v/>
      </c>
      <c r="E47" s="360" t="str">
        <f>IFERROR(VLOOKUP($A47,'SCH A'!$C$15:$G$25,5,FALSE),"")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A'!$C$15:$E$25,3,FALSE),"")</f>
        <v/>
      </c>
      <c r="E48" s="360" t="str">
        <f>IFERROR(VLOOKUP($A48,'SCH A'!$C$15:$G$25,5,FALSE),"")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A'!$C$15:$E$25,3,FALSE),"")</f>
        <v/>
      </c>
      <c r="E49" s="360" t="str">
        <f>IFERROR(VLOOKUP($A49,'SCH A'!$C$15:$G$25,5,FALSE),"")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A'!$C$15:$E$25,3,FALSE),"")</f>
        <v/>
      </c>
      <c r="E50" s="360" t="str">
        <f>IFERROR(VLOOKUP($A50,'SCH A'!$C$15:$G$25,5,FALSE),"")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A'!$C$15:$E$25,3,FALSE),"")</f>
        <v/>
      </c>
      <c r="E51" s="360" t="str">
        <f>IFERROR(VLOOKUP($A51,'SCH A'!$C$15:$G$25,5,FALSE),"")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A'!$C$15:$E$25,3,FALSE),"")</f>
        <v/>
      </c>
      <c r="E52" s="360" t="str">
        <f>IFERROR(VLOOKUP($A52,'SCH A'!$C$15:$G$25,5,FALSE),"")</f>
        <v/>
      </c>
      <c r="F52" s="26" t="e">
        <f t="shared" si="3"/>
        <v>#VALUE!</v>
      </c>
    </row>
    <row r="53" spans="1:6" x14ac:dyDescent="0.3">
      <c r="A53" s="327" t="s">
        <v>239</v>
      </c>
      <c r="B53" s="327" t="s">
        <v>280</v>
      </c>
      <c r="C53" s="329" t="s">
        <v>277</v>
      </c>
      <c r="D53" s="345" t="str">
        <f>IFERROR(VLOOKUP($A53,'SCH A'!$C$15:$E$25,3,FALSE),"")</f>
        <v/>
      </c>
      <c r="E53" s="360" t="str">
        <f>IFERROR(VLOOKUP($A53,'SCH A'!$C$15:$G$25,5,FALSE),"")</f>
        <v/>
      </c>
      <c r="F53" s="26" t="e">
        <f t="shared" si="3"/>
        <v>#VALUE!</v>
      </c>
    </row>
    <row r="54" spans="1:6" x14ac:dyDescent="0.3">
      <c r="A54" s="326" t="s">
        <v>240</v>
      </c>
      <c r="B54" s="326" t="s">
        <v>291</v>
      </c>
      <c r="C54" s="328" t="s">
        <v>247</v>
      </c>
      <c r="D54" s="345" t="str">
        <f>IFERROR(VLOOKUP($A54,'SCH A'!$C$15:$E$25,3,FALSE),"")</f>
        <v/>
      </c>
      <c r="E54" s="360" t="str">
        <f>IFERROR(VLOOKUP($A54,'SCH A'!$C$15:$G$25,5,FALSE),"")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A'!$C$15:$E$25,3,FALSE),"")</f>
        <v/>
      </c>
      <c r="E55" s="360" t="str">
        <f>IFERROR(VLOOKUP($A55,'SCH A'!$C$15:$G$25,5,FALSE),"")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A'!$C$15:$E$25,3,FALSE),"")</f>
        <v/>
      </c>
      <c r="E56" s="360" t="str">
        <f>IFERROR(VLOOKUP($A56,'SCH A'!$C$15:$G$25,5,FALSE),"")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A'!$C$15:$E$25,3,FALSE),"")</f>
        <v/>
      </c>
      <c r="E57" s="360" t="str">
        <f>IFERROR(VLOOKUP($A57,'SCH A'!$C$15:$G$25,5,FALSE),"")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A'!$C$15:$E$25,3,FALSE),"")</f>
        <v/>
      </c>
      <c r="E58" s="360" t="str">
        <f>IFERROR(VLOOKUP($A58,'SCH A'!$C$15:$G$25,5,FALSE),"")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A'!$C$15:$E$25,3,FALSE),"")</f>
        <v/>
      </c>
      <c r="E59" s="360" t="str">
        <f>IFERROR(VLOOKUP($A59,'SCH A'!$C$15:$G$25,5,FALSE),"")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A'!$C$15:$E$25,3,FALSE),"")</f>
        <v/>
      </c>
      <c r="E60" s="360" t="str">
        <f>IFERROR(VLOOKUP($A60,'SCH A'!$C$15:$G$25,5,FALSE),"")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A'!$C$15:$E$25,3,FALSE),"")</f>
        <v/>
      </c>
      <c r="E61" s="360" t="str">
        <f>IFERROR(VLOOKUP($A61,'SCH A'!$C$15:$G$25,5,FALSE),"")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A'!$C$15:$E$25,3,FALSE),"")</f>
        <v/>
      </c>
      <c r="E62" s="360" t="str">
        <f>IFERROR(VLOOKUP($A62,'SCH A'!$C$15:$G$25,5,FALSE),"")</f>
        <v/>
      </c>
      <c r="F62" s="26" t="e">
        <f t="shared" si="5"/>
        <v>#VALUE!</v>
      </c>
    </row>
    <row r="63" spans="1:6" x14ac:dyDescent="0.3">
      <c r="A63" s="327" t="s">
        <v>320</v>
      </c>
      <c r="B63" s="329" t="s">
        <v>335</v>
      </c>
      <c r="C63" s="329" t="s">
        <v>247</v>
      </c>
      <c r="D63" s="345" t="str">
        <f>IFERROR(VLOOKUP($A63,'SCH A'!$C$15:$E$25,3,FALSE),"")</f>
        <v/>
      </c>
      <c r="E63" s="360" t="str">
        <f>IFERROR(VLOOKUP($A63,'SCH A'!$C$15:$G$25,5,FALSE),"")</f>
        <v/>
      </c>
      <c r="F63" s="26" t="e">
        <f t="shared" si="5"/>
        <v>#VALUE!</v>
      </c>
    </row>
    <row r="64" spans="1:6" x14ac:dyDescent="0.3">
      <c r="A64" s="326" t="s">
        <v>321</v>
      </c>
      <c r="B64" s="328" t="s">
        <v>336</v>
      </c>
      <c r="C64" s="328" t="s">
        <v>247</v>
      </c>
      <c r="D64" s="345" t="str">
        <f>IFERROR(VLOOKUP($A64,'SCH A'!$C$15:$E$25,3,FALSE),"")</f>
        <v/>
      </c>
      <c r="E64" s="360" t="str">
        <f>IFERROR(VLOOKUP($A64,'SCH A'!$C$15:$G$25,5,FALSE),"")</f>
        <v/>
      </c>
      <c r="F64" s="26" t="e">
        <f t="shared" si="5"/>
        <v>#VALUE!</v>
      </c>
    </row>
    <row r="65" spans="1:6" x14ac:dyDescent="0.3">
      <c r="A65" s="327" t="s">
        <v>322</v>
      </c>
      <c r="B65" s="329" t="s">
        <v>337</v>
      </c>
      <c r="C65" s="329" t="s">
        <v>247</v>
      </c>
      <c r="D65" s="345" t="str">
        <f>IFERROR(VLOOKUP($A65,'SCH A'!$C$15:$E$25,3,FALSE),"")</f>
        <v/>
      </c>
      <c r="E65" s="360" t="str">
        <f>IFERROR(VLOOKUP($A65,'SCH A'!$C$15:$G$25,5,FALSE),"")</f>
        <v/>
      </c>
      <c r="F65" s="26" t="e">
        <f t="shared" si="5"/>
        <v>#VALUE!</v>
      </c>
    </row>
    <row r="66" spans="1:6" x14ac:dyDescent="0.3">
      <c r="A66" s="326" t="s">
        <v>323</v>
      </c>
      <c r="B66" s="328" t="s">
        <v>333</v>
      </c>
      <c r="C66" s="328" t="s">
        <v>46</v>
      </c>
      <c r="D66" s="345" t="str">
        <f>IFERROR(VLOOKUP($A66,'SCH A'!$C$15:$E$25,3,FALSE),"")</f>
        <v/>
      </c>
      <c r="E66" s="360" t="str">
        <f>IFERROR(VLOOKUP($A66,'SCH A'!$C$15:$G$25,5,FALSE),"")</f>
        <v/>
      </c>
      <c r="F66" s="345"/>
    </row>
    <row r="67" spans="1:6" x14ac:dyDescent="0.3">
      <c r="A67" s="327" t="s">
        <v>324</v>
      </c>
      <c r="B67" s="329" t="s">
        <v>334</v>
      </c>
      <c r="C67" s="329" t="s">
        <v>46</v>
      </c>
      <c r="D67" s="345" t="str">
        <f>IFERROR(VLOOKUP($A67,'SCH A'!$C$15:$E$25,3,FALSE),"")</f>
        <v/>
      </c>
      <c r="E67" s="360" t="str">
        <f>IFERROR(VLOOKUP($A67,'SCH A'!$C$15:$G$25,5,FALSE),"")</f>
        <v/>
      </c>
      <c r="F67" s="345"/>
    </row>
    <row r="68" spans="1:6" x14ac:dyDescent="0.3">
      <c r="A68" s="326" t="s">
        <v>325</v>
      </c>
      <c r="B68" s="328" t="s">
        <v>335</v>
      </c>
      <c r="C68" s="328" t="s">
        <v>46</v>
      </c>
      <c r="D68" s="345" t="str">
        <f>IFERROR(VLOOKUP($A68,'SCH A'!$C$15:$E$25,3,FALSE),"")</f>
        <v/>
      </c>
      <c r="E68" s="360" t="str">
        <f>IFERROR(VLOOKUP($A68,'SCH A'!$C$15:$G$25,5,FALSE),"")</f>
        <v/>
      </c>
      <c r="F68" s="345"/>
    </row>
    <row r="69" spans="1:6" x14ac:dyDescent="0.3">
      <c r="A69" s="327" t="s">
        <v>326</v>
      </c>
      <c r="B69" s="329" t="s">
        <v>336</v>
      </c>
      <c r="C69" s="329" t="s">
        <v>46</v>
      </c>
      <c r="D69" s="345" t="str">
        <f>IFERROR(VLOOKUP($A69,'SCH A'!$C$15:$E$25,3,FALSE),"")</f>
        <v/>
      </c>
      <c r="E69" s="360" t="str">
        <f>IFERROR(VLOOKUP($A69,'SCH A'!$C$15:$G$25,5,FALSE),"")</f>
        <v/>
      </c>
      <c r="F69" s="345"/>
    </row>
    <row r="70" spans="1:6" x14ac:dyDescent="0.3">
      <c r="A70" s="326" t="s">
        <v>327</v>
      </c>
      <c r="B70" s="328" t="s">
        <v>337</v>
      </c>
      <c r="C70" s="328" t="s">
        <v>46</v>
      </c>
      <c r="D70" s="345" t="str">
        <f>IFERROR(VLOOKUP($A70,'SCH A'!$C$15:$E$25,3,FALSE),"")</f>
        <v/>
      </c>
      <c r="E70" s="360" t="str">
        <f>IFERROR(VLOOKUP($A70,'SCH A'!$C$15:$G$25,5,FALSE),"")</f>
        <v/>
      </c>
      <c r="F70" s="345"/>
    </row>
    <row r="71" spans="1:6" x14ac:dyDescent="0.3">
      <c r="A71" s="327" t="s">
        <v>328</v>
      </c>
      <c r="B71" s="329" t="s">
        <v>333</v>
      </c>
      <c r="C71" s="329" t="s">
        <v>277</v>
      </c>
      <c r="D71" s="345" t="str">
        <f>IFERROR(VLOOKUP($A71,'SCH A'!$C$15:$E$25,3,FALSE),"")</f>
        <v/>
      </c>
      <c r="E71" s="360" t="str">
        <f>IFERROR(VLOOKUP($A71,'SCH A'!$C$15:$G$25,5,FALSE),"")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A'!$C$15:$E$25,3,FALSE),"")</f>
        <v/>
      </c>
      <c r="E72" s="360" t="str">
        <f>IFERROR(VLOOKUP($A72,'SCH A'!$C$15:$G$25,5,FALSE),"")</f>
        <v/>
      </c>
      <c r="F72" s="26" t="e">
        <f t="shared" si="6"/>
        <v>#VALUE!</v>
      </c>
    </row>
    <row r="73" spans="1:6" x14ac:dyDescent="0.3">
      <c r="A73" s="327" t="s">
        <v>330</v>
      </c>
      <c r="B73" s="329" t="s">
        <v>335</v>
      </c>
      <c r="C73" s="329" t="s">
        <v>277</v>
      </c>
      <c r="D73" s="345" t="str">
        <f>IFERROR(VLOOKUP($A73,'SCH A'!$C$15:$E$25,3,FALSE),"")</f>
        <v/>
      </c>
      <c r="E73" s="360" t="str">
        <f>IFERROR(VLOOKUP($A73,'SCH A'!$C$15:$G$25,5,FALSE),"")</f>
        <v/>
      </c>
      <c r="F73" s="26" t="e">
        <f t="shared" si="6"/>
        <v>#VALUE!</v>
      </c>
    </row>
    <row r="74" spans="1:6" x14ac:dyDescent="0.3">
      <c r="A74" s="326" t="s">
        <v>331</v>
      </c>
      <c r="B74" s="328" t="s">
        <v>336</v>
      </c>
      <c r="C74" s="328" t="s">
        <v>277</v>
      </c>
      <c r="D74" s="345" t="str">
        <f>IFERROR(VLOOKUP($A74,'SCH A'!$C$15:$E$25,3,FALSE),"")</f>
        <v/>
      </c>
      <c r="E74" s="360" t="str">
        <f>IFERROR(VLOOKUP($A74,'SCH A'!$C$15:$G$25,5,FALSE),"")</f>
        <v/>
      </c>
      <c r="F74" s="26" t="e">
        <f t="shared" si="6"/>
        <v>#VALUE!</v>
      </c>
    </row>
    <row r="75" spans="1:6" x14ac:dyDescent="0.3">
      <c r="A75" s="327" t="s">
        <v>332</v>
      </c>
      <c r="B75" s="329" t="s">
        <v>337</v>
      </c>
      <c r="C75" s="329" t="s">
        <v>277</v>
      </c>
      <c r="D75" s="345" t="str">
        <f>IFERROR(VLOOKUP($A75,'SCH A'!$C$15:$E$25,3,FALSE),"")</f>
        <v/>
      </c>
      <c r="E75" s="360" t="str">
        <f>IFERROR(VLOOKUP($A75,'SCH A'!$C$15:$G$25,5,FALSE),"")</f>
        <v/>
      </c>
      <c r="F75" s="26" t="e">
        <f t="shared" si="6"/>
        <v>#VALUE!</v>
      </c>
    </row>
    <row r="76" spans="1:6" x14ac:dyDescent="0.3">
      <c r="A76" s="326" t="s">
        <v>338</v>
      </c>
      <c r="B76" s="326" t="s">
        <v>350</v>
      </c>
      <c r="C76" s="326" t="s">
        <v>351</v>
      </c>
      <c r="D76" s="345" t="str">
        <f>IFERROR(VLOOKUP($A76,'SCH A'!$C$15:$E$25,3,FALSE),"")</f>
        <v/>
      </c>
      <c r="E76" s="360" t="str">
        <f>IFERROR(VLOOKUP($A76,'SCH A'!$C$15:$G$25,5,FALSE),"")</f>
        <v/>
      </c>
      <c r="F76" s="345"/>
    </row>
    <row r="77" spans="1:6" x14ac:dyDescent="0.3">
      <c r="A77" s="327" t="s">
        <v>339</v>
      </c>
      <c r="B77" s="327" t="s">
        <v>352</v>
      </c>
      <c r="C77" s="327" t="s">
        <v>351</v>
      </c>
      <c r="D77" s="345" t="str">
        <f>IFERROR(VLOOKUP($A77,'SCH A'!$C$15:$E$25,3,FALSE),"")</f>
        <v/>
      </c>
      <c r="E77" s="360" t="str">
        <f>IFERROR(VLOOKUP($A77,'SCH A'!$C$15:$G$25,5,FALSE),"")</f>
        <v/>
      </c>
      <c r="F77" s="345"/>
    </row>
    <row r="78" spans="1:6" x14ac:dyDescent="0.3">
      <c r="A78" s="326" t="s">
        <v>340</v>
      </c>
      <c r="B78" s="326" t="s">
        <v>353</v>
      </c>
      <c r="C78" s="326" t="s">
        <v>351</v>
      </c>
      <c r="D78" s="345" t="str">
        <f>IFERROR(VLOOKUP($A78,'SCH A'!$C$15:$E$25,3,FALSE),"")</f>
        <v/>
      </c>
      <c r="E78" s="360" t="str">
        <f>IFERROR(VLOOKUP($A78,'SCH A'!$C$15:$G$25,5,FALSE),"")</f>
        <v/>
      </c>
      <c r="F78" s="345"/>
    </row>
    <row r="79" spans="1:6" x14ac:dyDescent="0.3">
      <c r="A79" s="327" t="s">
        <v>341</v>
      </c>
      <c r="B79" s="327" t="s">
        <v>354</v>
      </c>
      <c r="C79" s="327" t="s">
        <v>351</v>
      </c>
      <c r="D79" s="345" t="str">
        <f>IFERROR(VLOOKUP($A79,'SCH A'!$C$15:$E$25,3,FALSE),"")</f>
        <v/>
      </c>
      <c r="E79" s="360" t="str">
        <f>IFERROR(VLOOKUP($A79,'SCH A'!$C$15:$G$25,5,FALSE),"")</f>
        <v/>
      </c>
      <c r="F79" s="345"/>
    </row>
    <row r="80" spans="1:6" x14ac:dyDescent="0.3">
      <c r="A80" s="326" t="s">
        <v>342</v>
      </c>
      <c r="B80" s="326" t="s">
        <v>350</v>
      </c>
      <c r="C80" s="326" t="s">
        <v>46</v>
      </c>
      <c r="D80" s="345" t="str">
        <f>IFERROR(VLOOKUP($A80,'SCH A'!$C$15:$E$25,3,FALSE),"")</f>
        <v/>
      </c>
      <c r="E80" s="360" t="str">
        <f>IFERROR(VLOOKUP($A80,'SCH A'!$C$15:$G$25,5,FALSE),"")</f>
        <v/>
      </c>
      <c r="F80" s="345"/>
    </row>
    <row r="81" spans="1:6" x14ac:dyDescent="0.3">
      <c r="A81" s="327" t="s">
        <v>343</v>
      </c>
      <c r="B81" s="334" t="s">
        <v>352</v>
      </c>
      <c r="C81" s="327" t="s">
        <v>46</v>
      </c>
      <c r="D81" s="345" t="str">
        <f>IFERROR(VLOOKUP($A81,'SCH A'!$C$15:$E$25,3,FALSE),"")</f>
        <v/>
      </c>
      <c r="E81" s="360" t="str">
        <f>IFERROR(VLOOKUP($A81,'SCH A'!$C$15:$G$25,5,FALSE),"")</f>
        <v/>
      </c>
      <c r="F81" s="345"/>
    </row>
    <row r="82" spans="1:6" ht="27.6" x14ac:dyDescent="0.3">
      <c r="A82" s="326" t="s">
        <v>344</v>
      </c>
      <c r="B82" s="335" t="s">
        <v>353</v>
      </c>
      <c r="C82" s="326" t="s">
        <v>46</v>
      </c>
      <c r="D82" s="345" t="str">
        <f>IFERROR(VLOOKUP($A82,'SCH A'!$C$15:$E$25,3,FALSE),"")</f>
        <v/>
      </c>
      <c r="E82" s="360" t="str">
        <f>IFERROR(VLOOKUP($A82,'SCH A'!$C$15:$G$25,5,FALSE),"")</f>
        <v/>
      </c>
      <c r="F82" s="345"/>
    </row>
    <row r="83" spans="1:6" ht="27.6" x14ac:dyDescent="0.3">
      <c r="A83" s="327" t="s">
        <v>345</v>
      </c>
      <c r="B83" s="334" t="s">
        <v>354</v>
      </c>
      <c r="C83" s="327" t="s">
        <v>46</v>
      </c>
      <c r="D83" s="345" t="str">
        <f>IFERROR(VLOOKUP($A83,'SCH A'!$C$15:$E$25,3,FALSE),"")</f>
        <v/>
      </c>
      <c r="E83" s="360" t="str">
        <f>IFERROR(VLOOKUP($A83,'SCH A'!$C$15:$G$25,5,FALSE),"")</f>
        <v/>
      </c>
      <c r="F83" s="345"/>
    </row>
    <row r="84" spans="1:6" x14ac:dyDescent="0.3">
      <c r="A84" s="326" t="s">
        <v>346</v>
      </c>
      <c r="B84" s="326" t="s">
        <v>350</v>
      </c>
      <c r="C84" s="326" t="s">
        <v>247</v>
      </c>
      <c r="D84" s="345" t="str">
        <f>IFERROR(VLOOKUP($A84,'SCH A'!$C$15:$E$25,3,FALSE),"")</f>
        <v/>
      </c>
      <c r="E84" s="360" t="str">
        <f>IFERROR(VLOOKUP($A84,'SCH A'!$C$15:$G$25,5,FALSE),"")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A'!$C$15:$E$25,3,FALSE),"")</f>
        <v/>
      </c>
      <c r="E85" s="360" t="str">
        <f>IFERROR(VLOOKUP($A85,'SCH A'!$C$15:$G$25,5,FALSE),"")</f>
        <v/>
      </c>
      <c r="F85" s="26" t="e">
        <f t="shared" si="7"/>
        <v>#VALUE!</v>
      </c>
    </row>
    <row r="86" spans="1:6" x14ac:dyDescent="0.3">
      <c r="A86" s="326" t="s">
        <v>348</v>
      </c>
      <c r="B86" s="326" t="s">
        <v>353</v>
      </c>
      <c r="C86" s="326" t="s">
        <v>247</v>
      </c>
      <c r="D86" s="345" t="str">
        <f>IFERROR(VLOOKUP($A86,'SCH A'!$C$15:$E$25,3,FALSE),"")</f>
        <v/>
      </c>
      <c r="E86" s="360" t="str">
        <f>IFERROR(VLOOKUP($A86,'SCH A'!$C$15:$G$25,5,FALSE),"")</f>
        <v/>
      </c>
      <c r="F86" s="26" t="e">
        <f t="shared" si="7"/>
        <v>#VALUE!</v>
      </c>
    </row>
    <row r="87" spans="1:6" x14ac:dyDescent="0.3">
      <c r="A87" s="327" t="s">
        <v>349</v>
      </c>
      <c r="B87" s="327" t="s">
        <v>354</v>
      </c>
      <c r="C87" s="327" t="s">
        <v>247</v>
      </c>
      <c r="D87" s="345" t="str">
        <f>IFERROR(VLOOKUP($A87,'SCH A'!$C$15:$E$25,3,FALSE),"")</f>
        <v/>
      </c>
      <c r="E87" s="360" t="str">
        <f>IFERROR(VLOOKUP($A87,'SCH A'!$C$15:$G$25,5,FALSE),"")</f>
        <v/>
      </c>
      <c r="F87" s="26" t="e">
        <f t="shared" si="7"/>
        <v>#VALUE!</v>
      </c>
    </row>
    <row r="88" spans="1:6" x14ac:dyDescent="0.3">
      <c r="A88" s="326" t="s">
        <v>355</v>
      </c>
      <c r="B88" s="326" t="s">
        <v>356</v>
      </c>
      <c r="C88" s="328" t="s">
        <v>247</v>
      </c>
      <c r="D88" s="345" t="str">
        <f>IFERROR(VLOOKUP($A88,'SCH A'!$C$15:$E$25,3,FALSE),"")</f>
        <v/>
      </c>
      <c r="E88" s="360" t="str">
        <f>IFERROR(VLOOKUP($A88,'SCH A'!$C$15:$G$25,5,FALSE),"")</f>
        <v/>
      </c>
      <c r="F88" s="345"/>
    </row>
    <row r="89" spans="1:6" x14ac:dyDescent="0.3">
      <c r="A89" s="327" t="s">
        <v>357</v>
      </c>
      <c r="B89" s="327" t="s">
        <v>304</v>
      </c>
      <c r="C89" s="327" t="s">
        <v>247</v>
      </c>
      <c r="D89" s="345" t="str">
        <f>IFERROR(VLOOKUP($A89,'SCH A'!$C$15:$E$25,3,FALSE),"")</f>
        <v/>
      </c>
      <c r="E89" s="360" t="str">
        <f>IFERROR(VLOOKUP($A89,'SCH A'!$C$15:$G$25,5,FALSE),"")</f>
        <v/>
      </c>
      <c r="F89" s="26" t="e">
        <f>IF((D89&gt;=1575),ROUND(E89*0.01,2),"-")</f>
        <v>#VALUE!</v>
      </c>
    </row>
    <row r="90" spans="1:6" x14ac:dyDescent="0.3">
      <c r="A90" s="326" t="s">
        <v>358</v>
      </c>
      <c r="B90" s="326" t="s">
        <v>305</v>
      </c>
      <c r="C90" s="326" t="s">
        <v>247</v>
      </c>
      <c r="D90" s="345" t="str">
        <f>IFERROR(VLOOKUP($A90,'SCH A'!$C$15:$E$25,3,FALSE),"")</f>
        <v/>
      </c>
      <c r="E90" s="360" t="str">
        <f>IFERROR(VLOOKUP($A90,'SCH A'!$C$15:$G$25,5,FALSE),"")</f>
        <v/>
      </c>
      <c r="F90" s="26" t="e">
        <f>IF((D90&gt;=1050),ROUND(E90*0.01,2),"-")</f>
        <v>#VALUE!</v>
      </c>
    </row>
    <row r="91" spans="1:6" x14ac:dyDescent="0.3">
      <c r="A91" s="327" t="s">
        <v>359</v>
      </c>
      <c r="B91" s="327" t="s">
        <v>306</v>
      </c>
      <c r="C91" s="327" t="s">
        <v>247</v>
      </c>
      <c r="D91" s="345" t="str">
        <f>IFERROR(VLOOKUP($A91,'SCH A'!$C$15:$E$25,3,FALSE),"")</f>
        <v/>
      </c>
      <c r="E91" s="360" t="str">
        <f>IFERROR(VLOOKUP($A91,'SCH A'!$C$15:$G$25,5,FALSE),"")</f>
        <v/>
      </c>
      <c r="F91" s="26" t="e">
        <f>IF((D91&gt;=787.5),ROUND(E91*0.01,2),"-")</f>
        <v>#VALUE!</v>
      </c>
    </row>
    <row r="92" spans="1:6" x14ac:dyDescent="0.3">
      <c r="A92" s="326" t="s">
        <v>360</v>
      </c>
      <c r="B92" s="326" t="s">
        <v>307</v>
      </c>
      <c r="C92" s="326" t="s">
        <v>247</v>
      </c>
      <c r="D92" s="345" t="str">
        <f>IFERROR(VLOOKUP($A92,'SCH A'!$C$15:$E$25,3,FALSE),"")</f>
        <v/>
      </c>
      <c r="E92" s="360" t="str">
        <f>IFERROR(VLOOKUP($A92,'SCH A'!$C$15:$G$25,5,FALSE),"")</f>
        <v/>
      </c>
      <c r="F92" s="26" t="e">
        <f>IF((D92&gt;=393.75),ROUND(E92*0.01,2),"-")</f>
        <v>#VALUE!</v>
      </c>
    </row>
    <row r="93" spans="1:6" x14ac:dyDescent="0.3">
      <c r="A93" s="327" t="s">
        <v>361</v>
      </c>
      <c r="B93" s="327" t="s">
        <v>367</v>
      </c>
      <c r="C93" s="327" t="s">
        <v>247</v>
      </c>
      <c r="D93" s="345" t="str">
        <f>IFERROR(VLOOKUP($A93,'SCH A'!$C$15:$E$25,3,FALSE),"")</f>
        <v/>
      </c>
      <c r="E93" s="360" t="str">
        <f>IFERROR(VLOOKUP($A93,'SCH A'!$C$15:$G$25,5,FALSE),"")</f>
        <v/>
      </c>
      <c r="F93" s="26" t="e">
        <f>IF((D93&gt;=(1575*2)),ROUND(E93*0.01,2),"-")</f>
        <v>#VALUE!</v>
      </c>
    </row>
    <row r="94" spans="1:6" x14ac:dyDescent="0.3">
      <c r="A94" s="326" t="s">
        <v>362</v>
      </c>
      <c r="B94" s="326" t="s">
        <v>368</v>
      </c>
      <c r="C94" s="326" t="s">
        <v>247</v>
      </c>
      <c r="D94" s="345" t="str">
        <f>IFERROR(VLOOKUP($A94,'SCH A'!$C$15:$E$25,3,FALSE),"")</f>
        <v/>
      </c>
      <c r="E94" s="360" t="str">
        <f>IFERROR(VLOOKUP($A94,'SCH A'!$C$15:$G$25,5,FALSE),"")</f>
        <v/>
      </c>
      <c r="F94" s="26" t="e">
        <f>IF((D94&gt;=(787.5*2)),ROUND(E94*0.01,2),"-")</f>
        <v>#VALUE!</v>
      </c>
    </row>
    <row r="95" spans="1:6" x14ac:dyDescent="0.3">
      <c r="A95" s="327" t="s">
        <v>363</v>
      </c>
      <c r="B95" s="327" t="s">
        <v>369</v>
      </c>
      <c r="C95" s="327" t="s">
        <v>247</v>
      </c>
      <c r="D95" s="345" t="str">
        <f>IFERROR(VLOOKUP($A95,'SCH A'!$C$15:$E$25,3,FALSE),"")</f>
        <v/>
      </c>
      <c r="E95" s="360" t="str">
        <f>IFERROR(VLOOKUP($A95,'SCH A'!$C$15:$G$25,5,FALSE),"")</f>
        <v/>
      </c>
      <c r="F95" s="26" t="e">
        <f>IF((D95&gt;=(1050*2)),ROUND(E95*0.01,2),"-")</f>
        <v>#VALUE!</v>
      </c>
    </row>
    <row r="96" spans="1:6" x14ac:dyDescent="0.3">
      <c r="A96" s="326" t="s">
        <v>364</v>
      </c>
      <c r="B96" s="326" t="s">
        <v>370</v>
      </c>
      <c r="C96" s="326" t="s">
        <v>247</v>
      </c>
      <c r="D96" s="345" t="str">
        <f>IFERROR(VLOOKUP($A96,'SCH A'!$C$15:$E$25,3,FALSE),"")</f>
        <v/>
      </c>
      <c r="E96" s="360" t="str">
        <f>IFERROR(VLOOKUP($A96,'SCH A'!$C$15:$G$25,5,FALSE),"")</f>
        <v/>
      </c>
      <c r="F96" s="26" t="e">
        <f>IF((D96&gt;=(787.5*2)),ROUND(E96*0.01,2),"-")</f>
        <v>#VALUE!</v>
      </c>
    </row>
    <row r="97" spans="1:6" x14ac:dyDescent="0.3">
      <c r="A97" s="327" t="s">
        <v>365</v>
      </c>
      <c r="B97" s="327" t="s">
        <v>371</v>
      </c>
      <c r="C97" s="327" t="s">
        <v>247</v>
      </c>
      <c r="D97" s="345" t="str">
        <f>IFERROR(VLOOKUP($A97,'SCH A'!$C$15:$E$25,3,FALSE),"")</f>
        <v/>
      </c>
      <c r="E97" s="360" t="str">
        <f>IFERROR(VLOOKUP($A97,'SCH A'!$C$15:$G$25,5,FALSE),"")</f>
        <v/>
      </c>
      <c r="F97" s="26" t="e">
        <f>IF((D97&gt;=(787.5*2)),ROUND(E97*0.01,2),"-")</f>
        <v>#VALUE!</v>
      </c>
    </row>
    <row r="98" spans="1:6" x14ac:dyDescent="0.3">
      <c r="A98" s="326" t="s">
        <v>366</v>
      </c>
      <c r="B98" s="326" t="s">
        <v>372</v>
      </c>
      <c r="C98" s="326" t="s">
        <v>247</v>
      </c>
      <c r="D98" s="345" t="str">
        <f>IFERROR(VLOOKUP($A98,'SCH A'!$C$15:$E$25,3,FALSE),"")</f>
        <v/>
      </c>
      <c r="E98" s="360" t="str">
        <f>IFERROR(VLOOKUP($A98,'SCH A'!$C$15:$G$25,5,FALSE),"")</f>
        <v/>
      </c>
      <c r="F98" s="26" t="e">
        <f>IF((D98&gt;=(393.75*2)),ROUND(E98*0.01,2),"-")</f>
        <v>#VALUE!</v>
      </c>
    </row>
    <row r="99" spans="1:6" x14ac:dyDescent="0.3">
      <c r="A99" s="327" t="s">
        <v>297</v>
      </c>
      <c r="B99" s="327" t="s">
        <v>304</v>
      </c>
      <c r="C99" s="327" t="s">
        <v>46</v>
      </c>
      <c r="D99" s="345" t="str">
        <f>IFERROR(VLOOKUP($A99,'SCH A'!$C$15:$E$25,3,FALSE),"")</f>
        <v/>
      </c>
      <c r="E99" s="360" t="str">
        <f>IFERROR(VLOOKUP($A99,'SCH A'!$C$15:$G$25,5,FALSE),"")</f>
        <v/>
      </c>
      <c r="F99" s="26" t="e">
        <f>IF((D99&gt;=40000),ROUND(E99*0.05,2),"-")</f>
        <v>#VALUE!</v>
      </c>
    </row>
    <row r="100" spans="1:6" x14ac:dyDescent="0.3">
      <c r="A100" s="326" t="s">
        <v>298</v>
      </c>
      <c r="B100" s="326" t="s">
        <v>305</v>
      </c>
      <c r="C100" s="326" t="s">
        <v>46</v>
      </c>
      <c r="D100" s="345" t="str">
        <f>IFERROR(VLOOKUP($A100,'SCH A'!$C$15:$E$25,3,FALSE),"")</f>
        <v/>
      </c>
      <c r="E100" s="360" t="str">
        <f>IFERROR(VLOOKUP($A100,'SCH A'!$C$15:$G$25,5,FALSE),"")</f>
        <v/>
      </c>
      <c r="F100" s="26" t="e">
        <f t="shared" ref="F100:F105" si="8">IF((D100&gt;=40000),ROUND(E100*0.05,2),"-")</f>
        <v>#VALUE!</v>
      </c>
    </row>
    <row r="101" spans="1:6" x14ac:dyDescent="0.3">
      <c r="A101" s="327" t="s">
        <v>299</v>
      </c>
      <c r="B101" s="327" t="s">
        <v>306</v>
      </c>
      <c r="C101" s="327" t="s">
        <v>46</v>
      </c>
      <c r="D101" s="345" t="str">
        <f>IFERROR(VLOOKUP($A101,'SCH A'!$C$15:$E$25,3,FALSE),"")</f>
        <v/>
      </c>
      <c r="E101" s="360" t="str">
        <f>IFERROR(VLOOKUP($A101,'SCH A'!$C$15:$G$25,5,FALSE),"")</f>
        <v/>
      </c>
      <c r="F101" s="26" t="e">
        <f t="shared" ref="F101" si="9">IF((D101&gt;=40000),ROUND(E101*0.05,2),"-")</f>
        <v>#VALUE!</v>
      </c>
    </row>
    <row r="102" spans="1:6" x14ac:dyDescent="0.3">
      <c r="A102" s="326" t="s">
        <v>300</v>
      </c>
      <c r="B102" s="326" t="s">
        <v>307</v>
      </c>
      <c r="C102" s="326" t="s">
        <v>46</v>
      </c>
      <c r="D102" s="345" t="str">
        <f>IFERROR(VLOOKUP($A102,'SCH A'!$C$15:$E$25,3,FALSE),"")</f>
        <v/>
      </c>
      <c r="E102" s="360" t="str">
        <f>IFERROR(VLOOKUP($A102,'SCH A'!$C$15:$G$25,5,FALSE),"")</f>
        <v/>
      </c>
      <c r="F102" s="26" t="e">
        <f t="shared" si="8"/>
        <v>#VALUE!</v>
      </c>
    </row>
    <row r="103" spans="1:6" x14ac:dyDescent="0.3">
      <c r="A103" s="327" t="s">
        <v>301</v>
      </c>
      <c r="B103" s="327" t="s">
        <v>308</v>
      </c>
      <c r="C103" s="327" t="s">
        <v>46</v>
      </c>
      <c r="D103" s="345" t="str">
        <f>IFERROR(VLOOKUP($A103,'SCH A'!$C$15:$E$25,3,FALSE),"")</f>
        <v/>
      </c>
      <c r="E103" s="360" t="str">
        <f>IFERROR(VLOOKUP($A103,'SCH A'!$C$15:$G$25,5,FALSE),"")</f>
        <v/>
      </c>
      <c r="F103" s="26" t="e">
        <f t="shared" si="8"/>
        <v>#VALUE!</v>
      </c>
    </row>
    <row r="104" spans="1:6" x14ac:dyDescent="0.3">
      <c r="A104" s="326" t="s">
        <v>302</v>
      </c>
      <c r="B104" s="326" t="s">
        <v>309</v>
      </c>
      <c r="C104" s="326" t="s">
        <v>46</v>
      </c>
      <c r="D104" s="345" t="str">
        <f>IFERROR(VLOOKUP($A104,'SCH A'!$C$15:$E$25,3,FALSE),"")</f>
        <v/>
      </c>
      <c r="E104" s="360" t="str">
        <f>IFERROR(VLOOKUP($A104,'SCH A'!$C$15:$G$25,5,FALSE),"")</f>
        <v/>
      </c>
      <c r="F104" s="26" t="e">
        <f t="shared" si="8"/>
        <v>#VALUE!</v>
      </c>
    </row>
    <row r="105" spans="1:6" x14ac:dyDescent="0.3">
      <c r="A105" s="327" t="s">
        <v>303</v>
      </c>
      <c r="B105" s="327" t="s">
        <v>310</v>
      </c>
      <c r="C105" s="327" t="s">
        <v>46</v>
      </c>
      <c r="D105" s="345" t="str">
        <f>IFERROR(VLOOKUP($A105,'SCH A'!$C$15:$E$25,3,FALSE),"")</f>
        <v/>
      </c>
      <c r="E105" s="360" t="str">
        <f>IFERROR(VLOOKUP($A105,'SCH A'!$C$15:$G$25,5,FALSE),"")</f>
        <v/>
      </c>
      <c r="F105" s="26" t="e">
        <f t="shared" si="8"/>
        <v>#VALUE!</v>
      </c>
    </row>
    <row r="106" spans="1:6" hidden="1" x14ac:dyDescent="0.3">
      <c r="A106" s="337" t="s">
        <v>373</v>
      </c>
      <c r="B106" s="338" t="s">
        <v>394</v>
      </c>
      <c r="C106" s="339" t="s">
        <v>247</v>
      </c>
    </row>
    <row r="107" spans="1:6" hidden="1" x14ac:dyDescent="0.3">
      <c r="A107" s="327" t="s">
        <v>374</v>
      </c>
      <c r="B107" s="327" t="s">
        <v>395</v>
      </c>
      <c r="C107" s="329" t="s">
        <v>247</v>
      </c>
    </row>
    <row r="108" spans="1:6" hidden="1" x14ac:dyDescent="0.3">
      <c r="A108" s="326" t="s">
        <v>375</v>
      </c>
      <c r="B108" s="326" t="s">
        <v>396</v>
      </c>
      <c r="C108" s="328" t="s">
        <v>247</v>
      </c>
    </row>
    <row r="109" spans="1:6" hidden="1" x14ac:dyDescent="0.3">
      <c r="A109" s="327" t="s">
        <v>376</v>
      </c>
      <c r="B109" s="327" t="s">
        <v>397</v>
      </c>
      <c r="C109" s="329" t="s">
        <v>247</v>
      </c>
    </row>
    <row r="110" spans="1:6" hidden="1" x14ac:dyDescent="0.3">
      <c r="A110" s="326" t="s">
        <v>377</v>
      </c>
      <c r="B110" s="326" t="s">
        <v>398</v>
      </c>
      <c r="C110" s="328" t="s">
        <v>247</v>
      </c>
    </row>
    <row r="111" spans="1:6" hidden="1" x14ac:dyDescent="0.3">
      <c r="A111" s="327" t="s">
        <v>378</v>
      </c>
      <c r="B111" s="327" t="s">
        <v>399</v>
      </c>
      <c r="C111" s="329" t="s">
        <v>247</v>
      </c>
    </row>
    <row r="112" spans="1:6" hidden="1" x14ac:dyDescent="0.3">
      <c r="A112" s="326" t="s">
        <v>379</v>
      </c>
      <c r="B112" s="326" t="s">
        <v>400</v>
      </c>
      <c r="C112" s="328" t="s">
        <v>247</v>
      </c>
    </row>
    <row r="113" spans="1:3" hidden="1" x14ac:dyDescent="0.3">
      <c r="A113" s="327" t="s">
        <v>380</v>
      </c>
      <c r="B113" s="327" t="s">
        <v>401</v>
      </c>
      <c r="C113" s="329" t="s">
        <v>247</v>
      </c>
    </row>
    <row r="114" spans="1:3" hidden="1" x14ac:dyDescent="0.3">
      <c r="A114" s="326" t="s">
        <v>381</v>
      </c>
      <c r="B114" s="326" t="s">
        <v>402</v>
      </c>
      <c r="C114" s="328" t="s">
        <v>247</v>
      </c>
    </row>
    <row r="115" spans="1:3" hidden="1" x14ac:dyDescent="0.3">
      <c r="A115" s="327" t="s">
        <v>382</v>
      </c>
      <c r="B115" s="327" t="s">
        <v>403</v>
      </c>
      <c r="C115" s="329" t="s">
        <v>247</v>
      </c>
    </row>
    <row r="116" spans="1:3" hidden="1" x14ac:dyDescent="0.3">
      <c r="A116" s="326" t="s">
        <v>383</v>
      </c>
      <c r="B116" s="326" t="s">
        <v>404</v>
      </c>
      <c r="C116" s="328" t="s">
        <v>247</v>
      </c>
    </row>
    <row r="117" spans="1:3" hidden="1" x14ac:dyDescent="0.3">
      <c r="A117" s="327" t="s">
        <v>384</v>
      </c>
      <c r="B117" s="327" t="s">
        <v>405</v>
      </c>
      <c r="C117" s="329" t="s">
        <v>247</v>
      </c>
    </row>
    <row r="118" spans="1:3" hidden="1" x14ac:dyDescent="0.3">
      <c r="A118" s="326" t="s">
        <v>385</v>
      </c>
      <c r="B118" s="326" t="s">
        <v>406</v>
      </c>
      <c r="C118" s="328" t="s">
        <v>247</v>
      </c>
    </row>
    <row r="119" spans="1:3" hidden="1" x14ac:dyDescent="0.3">
      <c r="A119" s="327" t="s">
        <v>386</v>
      </c>
      <c r="B119" s="327" t="s">
        <v>407</v>
      </c>
      <c r="C119" s="329" t="s">
        <v>247</v>
      </c>
    </row>
    <row r="120" spans="1:3" hidden="1" x14ac:dyDescent="0.3">
      <c r="A120" s="326" t="s">
        <v>387</v>
      </c>
      <c r="B120" s="326" t="s">
        <v>408</v>
      </c>
      <c r="C120" s="328" t="s">
        <v>247</v>
      </c>
    </row>
    <row r="121" spans="1:3" hidden="1" x14ac:dyDescent="0.3">
      <c r="A121" s="327" t="s">
        <v>388</v>
      </c>
      <c r="B121" s="327" t="s">
        <v>409</v>
      </c>
      <c r="C121" s="329" t="s">
        <v>247</v>
      </c>
    </row>
    <row r="122" spans="1:3" hidden="1" x14ac:dyDescent="0.3">
      <c r="A122" s="326" t="s">
        <v>389</v>
      </c>
      <c r="B122" s="326" t="s">
        <v>410</v>
      </c>
      <c r="C122" s="328" t="s">
        <v>247</v>
      </c>
    </row>
    <row r="123" spans="1:3" hidden="1" x14ac:dyDescent="0.3">
      <c r="A123" s="327" t="s">
        <v>390</v>
      </c>
      <c r="B123" s="327" t="s">
        <v>411</v>
      </c>
      <c r="C123" s="329" t="s">
        <v>247</v>
      </c>
    </row>
    <row r="124" spans="1:3" hidden="1" x14ac:dyDescent="0.3">
      <c r="A124" s="326" t="s">
        <v>391</v>
      </c>
      <c r="B124" s="326" t="s">
        <v>412</v>
      </c>
      <c r="C124" s="328" t="s">
        <v>247</v>
      </c>
    </row>
    <row r="125" spans="1:3" hidden="1" x14ac:dyDescent="0.3">
      <c r="A125" s="327" t="s">
        <v>392</v>
      </c>
      <c r="B125" s="327" t="s">
        <v>413</v>
      </c>
      <c r="C125" s="329" t="s">
        <v>247</v>
      </c>
    </row>
    <row r="126" spans="1:3" hidden="1" x14ac:dyDescent="0.3">
      <c r="A126" s="326" t="s">
        <v>393</v>
      </c>
      <c r="B126" s="326" t="s">
        <v>414</v>
      </c>
      <c r="C126" s="328" t="s">
        <v>247</v>
      </c>
    </row>
    <row r="127" spans="1:3" hidden="1" x14ac:dyDescent="0.3">
      <c r="A127" s="327" t="s">
        <v>415</v>
      </c>
      <c r="B127" s="327" t="s">
        <v>423</v>
      </c>
      <c r="C127" s="327" t="s">
        <v>247</v>
      </c>
    </row>
    <row r="128" spans="1:3" hidden="1" x14ac:dyDescent="0.3">
      <c r="A128" s="326" t="s">
        <v>416</v>
      </c>
      <c r="B128" s="326" t="s">
        <v>424</v>
      </c>
      <c r="C128" s="326" t="s">
        <v>247</v>
      </c>
    </row>
    <row r="129" spans="1:3" hidden="1" x14ac:dyDescent="0.3">
      <c r="A129" s="327" t="s">
        <v>417</v>
      </c>
      <c r="B129" s="327" t="s">
        <v>425</v>
      </c>
      <c r="C129" s="327" t="s">
        <v>247</v>
      </c>
    </row>
    <row r="130" spans="1:3" hidden="1" x14ac:dyDescent="0.3">
      <c r="A130" s="326" t="s">
        <v>418</v>
      </c>
      <c r="B130" s="326" t="s">
        <v>426</v>
      </c>
      <c r="C130" s="326" t="s">
        <v>247</v>
      </c>
    </row>
    <row r="131" spans="1:3" hidden="1" x14ac:dyDescent="0.3">
      <c r="A131" s="327" t="s">
        <v>419</v>
      </c>
      <c r="B131" s="327" t="s">
        <v>427</v>
      </c>
      <c r="C131" s="327" t="s">
        <v>247</v>
      </c>
    </row>
    <row r="132" spans="1:3" hidden="1" x14ac:dyDescent="0.3">
      <c r="A132" s="326" t="s">
        <v>420</v>
      </c>
      <c r="B132" s="326" t="s">
        <v>428</v>
      </c>
      <c r="C132" s="326" t="s">
        <v>247</v>
      </c>
    </row>
    <row r="133" spans="1:3" hidden="1" x14ac:dyDescent="0.3">
      <c r="A133" s="327" t="s">
        <v>421</v>
      </c>
      <c r="B133" s="327" t="s">
        <v>429</v>
      </c>
      <c r="C133" s="327" t="s">
        <v>247</v>
      </c>
    </row>
    <row r="134" spans="1:3" hidden="1" x14ac:dyDescent="0.3">
      <c r="A134" s="326" t="s">
        <v>422</v>
      </c>
      <c r="B134" s="326" t="s">
        <v>430</v>
      </c>
      <c r="C134" s="326" t="s">
        <v>247</v>
      </c>
    </row>
    <row r="135" spans="1:3" ht="27.6" hidden="1" x14ac:dyDescent="0.3">
      <c r="A135" s="337" t="s">
        <v>373</v>
      </c>
      <c r="B135" s="343" t="s">
        <v>394</v>
      </c>
      <c r="C135" s="339" t="s">
        <v>247</v>
      </c>
    </row>
    <row r="136" spans="1:3" ht="27.6" hidden="1" x14ac:dyDescent="0.3">
      <c r="A136" s="327" t="s">
        <v>374</v>
      </c>
      <c r="B136" s="334" t="s">
        <v>395</v>
      </c>
      <c r="C136" s="329" t="s">
        <v>247</v>
      </c>
    </row>
    <row r="137" spans="1:3" ht="27.6" hidden="1" x14ac:dyDescent="0.3">
      <c r="A137" s="326" t="s">
        <v>375</v>
      </c>
      <c r="B137" s="335" t="s">
        <v>396</v>
      </c>
      <c r="C137" s="328" t="s">
        <v>247</v>
      </c>
    </row>
    <row r="138" spans="1:3" ht="27.6" hidden="1" x14ac:dyDescent="0.3">
      <c r="A138" s="327" t="s">
        <v>376</v>
      </c>
      <c r="B138" s="334" t="s">
        <v>397</v>
      </c>
      <c r="C138" s="329" t="s">
        <v>247</v>
      </c>
    </row>
    <row r="139" spans="1:3" ht="27.6" hidden="1" x14ac:dyDescent="0.3">
      <c r="A139" s="326" t="s">
        <v>377</v>
      </c>
      <c r="B139" s="335" t="s">
        <v>398</v>
      </c>
      <c r="C139" s="328" t="s">
        <v>247</v>
      </c>
    </row>
    <row r="140" spans="1:3" ht="27.6" hidden="1" x14ac:dyDescent="0.3">
      <c r="A140" s="327" t="s">
        <v>378</v>
      </c>
      <c r="B140" s="334" t="s">
        <v>399</v>
      </c>
      <c r="C140" s="329" t="s">
        <v>247</v>
      </c>
    </row>
    <row r="141" spans="1:3" ht="27.6" hidden="1" x14ac:dyDescent="0.3">
      <c r="A141" s="326" t="s">
        <v>379</v>
      </c>
      <c r="B141" s="335" t="s">
        <v>400</v>
      </c>
      <c r="C141" s="328" t="s">
        <v>247</v>
      </c>
    </row>
    <row r="142" spans="1:3" ht="27.6" hidden="1" x14ac:dyDescent="0.3">
      <c r="A142" s="327" t="s">
        <v>386</v>
      </c>
      <c r="B142" s="334" t="s">
        <v>407</v>
      </c>
      <c r="C142" s="329" t="s">
        <v>247</v>
      </c>
    </row>
    <row r="143" spans="1:3" ht="27.6" hidden="1" x14ac:dyDescent="0.3">
      <c r="A143" s="326" t="s">
        <v>387</v>
      </c>
      <c r="B143" s="335" t="s">
        <v>408</v>
      </c>
      <c r="C143" s="328" t="s">
        <v>247</v>
      </c>
    </row>
    <row r="144" spans="1:3" ht="27.6" hidden="1" x14ac:dyDescent="0.3">
      <c r="A144" s="327" t="s">
        <v>388</v>
      </c>
      <c r="B144" s="334" t="s">
        <v>409</v>
      </c>
      <c r="C144" s="329" t="s">
        <v>247</v>
      </c>
    </row>
    <row r="145" spans="1:3" hidden="1" x14ac:dyDescent="0.3">
      <c r="A145" s="327" t="s">
        <v>415</v>
      </c>
      <c r="B145" s="327" t="s">
        <v>423</v>
      </c>
      <c r="C145" s="327" t="s">
        <v>247</v>
      </c>
    </row>
    <row r="146" spans="1:3" hidden="1" x14ac:dyDescent="0.3">
      <c r="A146" s="326" t="s">
        <v>416</v>
      </c>
      <c r="B146" s="326" t="s">
        <v>424</v>
      </c>
      <c r="C146" s="326" t="s">
        <v>247</v>
      </c>
    </row>
    <row r="147" spans="1:3" hidden="1" x14ac:dyDescent="0.3">
      <c r="A147" s="327" t="s">
        <v>417</v>
      </c>
      <c r="B147" s="327" t="s">
        <v>425</v>
      </c>
      <c r="C147" s="327" t="s">
        <v>247</v>
      </c>
    </row>
    <row r="148" spans="1:3" hidden="1" x14ac:dyDescent="0.3">
      <c r="A148" s="326" t="s">
        <v>418</v>
      </c>
      <c r="B148" s="326" t="s">
        <v>426</v>
      </c>
      <c r="C148" s="326" t="s">
        <v>247</v>
      </c>
    </row>
    <row r="149" spans="1:3" hidden="1" x14ac:dyDescent="0.3">
      <c r="A149" s="327" t="s">
        <v>419</v>
      </c>
      <c r="B149" s="327" t="s">
        <v>427</v>
      </c>
      <c r="C149" s="327" t="s">
        <v>247</v>
      </c>
    </row>
    <row r="150" spans="1:3" hidden="1" x14ac:dyDescent="0.3">
      <c r="A150" s="326" t="s">
        <v>420</v>
      </c>
      <c r="B150" s="326" t="s">
        <v>428</v>
      </c>
      <c r="C150" s="326" t="s">
        <v>247</v>
      </c>
    </row>
  </sheetData>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7"/>
  <sheetViews>
    <sheetView topLeftCell="A13" zoomScaleNormal="100" workbookViewId="0">
      <selection activeCell="I23" sqref="I23"/>
    </sheetView>
  </sheetViews>
  <sheetFormatPr defaultColWidth="9.109375" defaultRowHeight="13.2" x14ac:dyDescent="0.25"/>
  <cols>
    <col min="1" max="1" width="14.109375" style="6" customWidth="1"/>
    <col min="2" max="2" width="1.6640625" style="6" customWidth="1"/>
    <col min="3" max="3" width="30.109375" style="6" customWidth="1"/>
    <col min="4" max="4" width="2.109375"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tr">
        <f>'SCH A'!A2</f>
        <v xml:space="preserve"> (Fill out this form regardless of the project being qualified for incentives or not)</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'SCH A'!C5</f>
        <v>0</v>
      </c>
      <c r="D5" s="41"/>
      <c r="E5" s="12"/>
      <c r="F5" s="12"/>
      <c r="G5" s="13"/>
      <c r="H5" s="14"/>
      <c r="I5" s="14" t="s">
        <v>4</v>
      </c>
      <c r="J5" s="15">
        <f ca="1" xml:space="preserve"> TODAY()</f>
        <v>44474</v>
      </c>
    </row>
    <row r="6" spans="1:10" ht="6" customHeight="1" x14ac:dyDescent="0.25">
      <c r="A6" s="11"/>
      <c r="B6" s="11"/>
      <c r="C6" s="362"/>
      <c r="D6" s="362"/>
      <c r="E6" s="12"/>
      <c r="F6" s="12"/>
      <c r="G6" s="13"/>
      <c r="H6" s="14"/>
      <c r="I6" s="14"/>
      <c r="J6" s="15"/>
    </row>
    <row r="7" spans="1:10" x14ac:dyDescent="0.25">
      <c r="A7" s="11" t="s">
        <v>3</v>
      </c>
      <c r="B7" s="11"/>
      <c r="C7" s="383">
        <f>'SCH A'!C7:G7</f>
        <v>0</v>
      </c>
      <c r="D7" s="383"/>
      <c r="E7" s="383"/>
      <c r="F7" s="383"/>
      <c r="G7" s="383"/>
      <c r="H7" s="253"/>
      <c r="I7" s="253" t="s">
        <v>140</v>
      </c>
      <c r="J7" s="1" t="s">
        <v>160</v>
      </c>
    </row>
    <row r="8" spans="1:10" ht="6" customHeight="1" x14ac:dyDescent="0.25">
      <c r="A8" s="11"/>
      <c r="B8" s="11"/>
      <c r="C8" s="362"/>
      <c r="D8" s="362"/>
      <c r="E8" s="362"/>
      <c r="F8" s="362"/>
      <c r="G8" s="362"/>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6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7.6" customHeight="1" thickBot="1" x14ac:dyDescent="0.3">
      <c r="A14" s="325" t="s">
        <v>185</v>
      </c>
      <c r="B14" s="19"/>
      <c r="C14" s="19" t="s">
        <v>167</v>
      </c>
      <c r="D14" s="20"/>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4"/>
      <c r="E15" s="358"/>
      <c r="F15" s="25"/>
      <c r="G15" s="359"/>
      <c r="H15" s="26" t="str">
        <f>IFERROR(VLOOKUP(C15,inputSchB!$A$2:$F$105,6,FALSE),"")</f>
        <v/>
      </c>
      <c r="I15" s="361" t="str">
        <f>IFERROR(H15/G15,"")</f>
        <v/>
      </c>
      <c r="J15" s="26" t="str">
        <f>IF(AND(ISNUMBER(E15),ISNUMBER(H15)),E15*H15,"-")</f>
        <v>-</v>
      </c>
    </row>
    <row r="16" spans="1:10" ht="6" customHeight="1" x14ac:dyDescent="0.25">
      <c r="A16" s="352"/>
      <c r="B16" s="299"/>
      <c r="C16" s="348"/>
      <c r="D16" s="24"/>
      <c r="E16" s="330"/>
      <c r="F16" s="25"/>
      <c r="G16" s="27"/>
      <c r="H16" s="26"/>
      <c r="I16" s="361"/>
      <c r="J16" s="26"/>
    </row>
    <row r="17" spans="1:13" ht="13.8" x14ac:dyDescent="0.3">
      <c r="A17" s="300"/>
      <c r="B17" s="299"/>
      <c r="C17" s="347"/>
      <c r="D17" s="24"/>
      <c r="E17" s="358"/>
      <c r="F17" s="25"/>
      <c r="G17" s="359"/>
      <c r="H17" s="26" t="str">
        <f>IFERROR(VLOOKUP(C17,inputSchB!$A$2:$F$105,6,FALSE),"")</f>
        <v/>
      </c>
      <c r="I17" s="361" t="str">
        <f>IFERROR(H17/G17,"")</f>
        <v/>
      </c>
      <c r="J17" s="26" t="str">
        <f>IF(AND(ISNUMBER(E17),ISNUMBER(H17)),E17*H17,"-")</f>
        <v>-</v>
      </c>
    </row>
    <row r="18" spans="1:13" ht="6" customHeight="1" x14ac:dyDescent="0.25">
      <c r="A18" s="352"/>
      <c r="B18" s="299"/>
      <c r="C18" s="348"/>
      <c r="D18" s="24"/>
      <c r="E18" s="331"/>
      <c r="F18" s="25"/>
      <c r="G18" s="26"/>
      <c r="H18" s="26"/>
      <c r="I18" s="361"/>
      <c r="J18" s="26"/>
    </row>
    <row r="19" spans="1:13" ht="13.8" x14ac:dyDescent="0.3">
      <c r="A19" s="300"/>
      <c r="B19" s="299"/>
      <c r="C19" s="347"/>
      <c r="D19" s="24"/>
      <c r="E19" s="358"/>
      <c r="F19" s="25"/>
      <c r="G19" s="359"/>
      <c r="H19" s="26" t="str">
        <f>IFERROR(VLOOKUP(C19,inputSchB!$A$2:$F$105,6,FALSE),"")</f>
        <v/>
      </c>
      <c r="I19" s="361" t="str">
        <f>IFERROR(H19/G19,"")</f>
        <v/>
      </c>
      <c r="J19" s="26" t="str">
        <f>IF(AND(ISNUMBER(E19),ISNUMBER(H19)),E19*H19,"-")</f>
        <v>-</v>
      </c>
    </row>
    <row r="20" spans="1:13" ht="6" customHeight="1" x14ac:dyDescent="0.25">
      <c r="A20" s="352"/>
      <c r="B20" s="299"/>
      <c r="C20" s="348"/>
      <c r="D20" s="24"/>
      <c r="E20" s="331"/>
      <c r="F20" s="25"/>
      <c r="G20" s="26"/>
      <c r="H20" s="26"/>
      <c r="I20" s="361"/>
      <c r="J20" s="26"/>
    </row>
    <row r="21" spans="1:13" ht="13.8" x14ac:dyDescent="0.3">
      <c r="A21" s="300"/>
      <c r="B21" s="299"/>
      <c r="C21" s="347"/>
      <c r="D21" s="24"/>
      <c r="E21" s="358"/>
      <c r="F21" s="25"/>
      <c r="G21" s="359"/>
      <c r="H21" s="26" t="str">
        <f>IFERROR(VLOOKUP(C21,inputSchB!$A$2:$F$105,6,FALSE),"")</f>
        <v/>
      </c>
      <c r="I21" s="361" t="str">
        <f>IFERROR(H21/G21,"")</f>
        <v/>
      </c>
      <c r="J21" s="26" t="str">
        <f>IF(AND(ISNUMBER(E21),ISNUMBER(H21)),E21*H21,"-")</f>
        <v>-</v>
      </c>
    </row>
    <row r="22" spans="1:13" ht="6" customHeight="1" x14ac:dyDescent="0.25">
      <c r="A22" s="352"/>
      <c r="B22" s="299"/>
      <c r="C22" s="348"/>
      <c r="D22" s="24"/>
      <c r="E22" s="331"/>
      <c r="F22" s="25"/>
      <c r="G22" s="26"/>
      <c r="H22" s="26"/>
      <c r="I22" s="361"/>
      <c r="J22" s="26"/>
    </row>
    <row r="23" spans="1:13" ht="13.8" x14ac:dyDescent="0.3">
      <c r="A23" s="300"/>
      <c r="B23" s="299"/>
      <c r="C23" s="347"/>
      <c r="D23" s="24"/>
      <c r="E23" s="358"/>
      <c r="F23" s="25"/>
      <c r="G23" s="359"/>
      <c r="H23" s="26" t="str">
        <f>IFERROR(VLOOKUP(C23,inputSchB!$A$2:$F$105,6,FALSE),"")</f>
        <v/>
      </c>
      <c r="I23" s="361" t="str">
        <f>IFERROR(H23/G23,"")</f>
        <v/>
      </c>
      <c r="J23" s="26" t="str">
        <f>IF(AND(ISNUMBER(E23),ISNUMBER(H23)),E23*H23,"-")</f>
        <v>-</v>
      </c>
    </row>
    <row r="24" spans="1:13" ht="6" customHeight="1" x14ac:dyDescent="0.25">
      <c r="A24" s="352"/>
      <c r="B24" s="299"/>
      <c r="C24" s="348"/>
      <c r="D24" s="24"/>
      <c r="E24" s="331"/>
      <c r="F24" s="25"/>
      <c r="G24" s="26"/>
      <c r="H24" s="26"/>
      <c r="I24" s="361"/>
      <c r="J24" s="26"/>
    </row>
    <row r="25" spans="1:13" ht="13.8" x14ac:dyDescent="0.3">
      <c r="A25" s="300"/>
      <c r="B25" s="299"/>
      <c r="C25" s="347"/>
      <c r="D25" s="24"/>
      <c r="E25" s="358"/>
      <c r="F25" s="25"/>
      <c r="G25" s="359"/>
      <c r="H25" s="26" t="str">
        <f>IFERROR(VLOOKUP(C25,inputSchB!$A$2:$F$105,6,FALSE),"")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4"/>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4"/>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4"/>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63"/>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63"/>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1.4" x14ac:dyDescent="0.25">
      <c r="A68" s="317" t="s">
        <v>432</v>
      </c>
      <c r="B68" s="318"/>
      <c r="C68" s="319"/>
      <c r="D68" s="318"/>
      <c r="E68" s="320"/>
      <c r="F68" s="320"/>
      <c r="G68" s="321"/>
      <c r="H68" s="321"/>
      <c r="I68" s="321"/>
      <c r="J68" s="322"/>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362">
        <f>+C5</f>
        <v>0</v>
      </c>
      <c r="D72" s="362"/>
      <c r="E72" s="12"/>
      <c r="F72" s="12"/>
      <c r="G72" s="13"/>
      <c r="H72" s="14"/>
      <c r="I72" s="14" t="s">
        <v>4</v>
      </c>
      <c r="J72" s="15">
        <f ca="1" xml:space="preserve"> TODAY()</f>
        <v>44474</v>
      </c>
    </row>
    <row r="73" spans="1:10" ht="4.5" customHeight="1" x14ac:dyDescent="0.25">
      <c r="A73" s="11"/>
      <c r="B73" s="11"/>
      <c r="C73" s="362"/>
      <c r="D73" s="362"/>
      <c r="E73" s="12"/>
      <c r="F73" s="12"/>
      <c r="G73" s="13"/>
      <c r="H73" s="14"/>
      <c r="I73" s="14"/>
      <c r="J73" s="15"/>
    </row>
    <row r="74" spans="1:10" x14ac:dyDescent="0.25">
      <c r="A74" s="11" t="s">
        <v>3</v>
      </c>
      <c r="B74" s="11"/>
      <c r="C74" s="389">
        <f>+C7</f>
        <v>0</v>
      </c>
      <c r="D74" s="389"/>
      <c r="E74" s="389"/>
      <c r="F74" s="389"/>
      <c r="G74" s="389"/>
      <c r="H74" s="14"/>
      <c r="I74" s="14" t="str">
        <f>+I7</f>
        <v xml:space="preserve">Schedule: </v>
      </c>
      <c r="J74" s="17" t="str">
        <f>+J7</f>
        <v>B</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362">
        <f>+C5</f>
        <v>0</v>
      </c>
      <c r="D136" s="362"/>
      <c r="E136" s="12"/>
      <c r="F136" s="12"/>
      <c r="G136" s="13"/>
      <c r="H136" s="14"/>
      <c r="I136" s="14" t="s">
        <v>4</v>
      </c>
      <c r="J136" s="15">
        <f ca="1" xml:space="preserve"> TODAY()</f>
        <v>44474</v>
      </c>
    </row>
    <row r="137" spans="1:10" ht="3.75" customHeight="1" x14ac:dyDescent="0.25">
      <c r="A137" s="11"/>
      <c r="B137" s="11"/>
      <c r="C137" s="362"/>
      <c r="D137" s="362"/>
      <c r="E137" s="12"/>
      <c r="F137" s="12"/>
      <c r="G137" s="13"/>
      <c r="H137" s="14"/>
      <c r="I137" s="14"/>
      <c r="J137" s="15"/>
    </row>
    <row r="138" spans="1:10" x14ac:dyDescent="0.25">
      <c r="A138" s="11" t="s">
        <v>3</v>
      </c>
      <c r="B138" s="11"/>
      <c r="C138" s="389">
        <f>+C7</f>
        <v>0</v>
      </c>
      <c r="D138" s="389"/>
      <c r="E138" s="389"/>
      <c r="F138" s="389"/>
      <c r="G138" s="389"/>
      <c r="H138" s="14"/>
      <c r="I138" s="14" t="str">
        <f>+I7</f>
        <v xml:space="preserve">Schedule: </v>
      </c>
      <c r="J138" s="17" t="str">
        <f>+J7</f>
        <v>B</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7">
    <mergeCell ref="A143:C143"/>
    <mergeCell ref="A145:C145"/>
    <mergeCell ref="D148:D149"/>
    <mergeCell ref="D121:D122"/>
    <mergeCell ref="A123:C123"/>
    <mergeCell ref="D124:D125"/>
    <mergeCell ref="D127:D129"/>
    <mergeCell ref="A133:J133"/>
    <mergeCell ref="C138:G138"/>
    <mergeCell ref="D117:D119"/>
    <mergeCell ref="A41:J41"/>
    <mergeCell ref="A42:J42"/>
    <mergeCell ref="A51:H51"/>
    <mergeCell ref="A69:J69"/>
    <mergeCell ref="C74:G74"/>
    <mergeCell ref="D80:D89"/>
    <mergeCell ref="D91:D99"/>
    <mergeCell ref="D101:D102"/>
    <mergeCell ref="D104:D108"/>
    <mergeCell ref="D110:D112"/>
    <mergeCell ref="D114:D115"/>
    <mergeCell ref="A38:H38"/>
    <mergeCell ref="A1:J1"/>
    <mergeCell ref="C7:G7"/>
    <mergeCell ref="A12:J12"/>
    <mergeCell ref="A27:J27"/>
    <mergeCell ref="A28:J28"/>
  </mergeCells>
  <conditionalFormatting sqref="H15 H25 H23 H21 H19 H17">
    <cfRule type="expression" dxfId="4" priority="1">
      <formula>AND($H15=0,$E15&gt;0)=TRUE</formula>
    </cfRule>
  </conditionalFormatting>
  <dataValidations count="16">
    <dataValidation type="list" allowBlank="1" showInputMessage="1" showErrorMessage="1" promptTitle="Select Schedule Type " prompt="Select Schedule or Option " sqref="I7" xr:uid="{00000000-0002-0000-0300-000000000000}">
      <formula1>", Schedule: , Option: "</formula1>
    </dataValidation>
    <dataValidation allowBlank="1" showErrorMessage="1" promptTitle="Enter project name" prompt="Example:  Pinto Basin Road" sqref="C7:G7" xr:uid="{00000000-0002-0000-0300-000001000000}"/>
    <dataValidation allowBlank="1" showErrorMessage="1" promptTitle="Enter project number" prompt="Example:  CA FTNP JOTR 11(5)" sqref="C5:D5" xr:uid="{00000000-0002-0000-0300-000002000000}"/>
    <dataValidation type="list" allowBlank="1" showErrorMessage="1" error="Please use the drop-down menu to select the FP version" promptTitle="Select FP Version" prompt="Select FP-03 or FP-14" sqref="E3" xr:uid="{00000000-0002-0000-0300-000003000000}">
      <formula1>" , FP-03, FP-14"</formula1>
    </dataValidation>
    <dataValidation type="list" allowBlank="1" showErrorMessage="1" error="Please use the drop-down menu to select the project units" promptTitle="Select Units" prompt="Select Metric or US Customary" sqref="J9" xr:uid="{00000000-0002-0000-0300-000004000000}">
      <formula1>"METRIC, US CUSTOMARY"</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300-000005000000}">
      <formula1>"  , A, B, C, D, E, F, G, W, X, Y, Z"</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300-000006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300-000007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300-000008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300-000009000000}">
      <formula1>0</formula1>
    </dataValidation>
    <dataValidation type="whole" operator="greaterThanOrEqual" allowBlank="1" showInputMessage="1" showErrorMessage="1" error="Bid decimals set to zero._x000a__x000a_Contact Heidi Hirsbrunner (X3622)_x000a_                   _x000a_to modify Incentive Spreadsheet." sqref="E80:E89 E104:E108" xr:uid="{00000000-0002-0000-0300-00000A000000}">
      <formula1>0</formula1>
    </dataValidation>
    <dataValidation allowBlank="1" showErrorMessage="1" sqref="C83" xr:uid="{00000000-0002-0000-0300-00000B000000}"/>
    <dataValidation allowBlank="1" sqref="C72:D72 C136:D136" xr:uid="{00000000-0002-0000-0300-00000C000000}"/>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300-00000D000000}">
      <formula1>0</formula1>
    </dataValidation>
    <dataValidation type="list" allowBlank="1" showErrorMessage="1" promptTitle="Select Schedule Type " prompt="Select Schedule or Option " sqref="H7" xr:uid="{00000000-0002-0000-0300-00000E000000}">
      <formula1>", Schedule: , Option: "</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H15 H17 H19 H21 H23 H25" xr:uid="{00000000-0002-0000-0300-00000F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10000000}">
          <x14:formula1>
            <xm:f>inputSchA!$A$2:$A$105</xm:f>
          </x14:formula1>
          <xm:sqref>C15 C17 C19 C21 C23 C25</xm:sqref>
        </x14:dataValidation>
        <x14:dataValidation type="list" allowBlank="1" showInputMessage="1" showErrorMessage="1" xr:uid="{00000000-0002-0000-0300-000011000000}">
          <x14:formula1>
            <xm:f>inputSchA!$A$134:$A$150</xm:f>
          </x14:formula1>
          <xm:sqref>A45 A47 A49</xm:sqref>
        </x14:dataValidation>
        <x14:dataValidation type="list" allowBlank="1" showInputMessage="1" showErrorMessage="1" xr:uid="{00000000-0002-0000-0300-000012000000}">
          <x14:formula1>
            <xm:f>inputSchA!$A$106:$A$134</xm:f>
          </x14:formula1>
          <xm:sqref>C31 C33 C35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0"/>
  <sheetViews>
    <sheetView workbookViewId="0">
      <pane xSplit="3" ySplit="1" topLeftCell="D77" activePane="bottomRight" state="frozen"/>
      <selection pane="topRight" activeCell="D1" sqref="D1"/>
      <selection pane="bottomLeft" activeCell="A2" sqref="A2"/>
      <selection pane="bottomRight" activeCell="D105" sqref="D105"/>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B'!$C$15:$E$25,3,FALSE),"")</f>
        <v/>
      </c>
      <c r="E2" s="360" t="str">
        <f>IFERROR(VLOOKUP($A2,'SCH B'!$C$15:$G$25,5,FALSE),"")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B'!$C$15:$E$25,3,FALSE),"")</f>
        <v/>
      </c>
      <c r="E3" s="360" t="str">
        <f>IFERROR(VLOOKUP($A3,'SCH B'!$C$15:$G$25,5,FALSE),"")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B'!$C$15:$E$25,3,FALSE),"")</f>
        <v/>
      </c>
      <c r="E4" s="360" t="str">
        <f>IFERROR(VLOOKUP($A4,'SCH B'!$C$15:$G$25,5,FALSE),"")</f>
        <v/>
      </c>
      <c r="F4" s="26" t="e">
        <f t="shared" si="0"/>
        <v>#VALUE!</v>
      </c>
    </row>
    <row r="5" spans="1:6" x14ac:dyDescent="0.3">
      <c r="A5" s="327" t="s">
        <v>192</v>
      </c>
      <c r="B5" s="327" t="s">
        <v>250</v>
      </c>
      <c r="C5" s="329" t="s">
        <v>247</v>
      </c>
      <c r="D5" s="345" t="str">
        <f>IFERROR(VLOOKUP($A5,'SCH B'!$C$15:$E$25,3,FALSE),"")</f>
        <v/>
      </c>
      <c r="E5" s="360" t="str">
        <f>IFERROR(VLOOKUP($A5,'SCH B'!$C$15:$G$25,5,FALSE),"")</f>
        <v/>
      </c>
      <c r="F5" s="26" t="e">
        <f t="shared" si="0"/>
        <v>#VALUE!</v>
      </c>
    </row>
    <row r="6" spans="1:6" x14ac:dyDescent="0.3">
      <c r="A6" s="326" t="s">
        <v>193</v>
      </c>
      <c r="B6" s="326" t="s">
        <v>251</v>
      </c>
      <c r="C6" s="328" t="s">
        <v>247</v>
      </c>
      <c r="D6" s="345" t="str">
        <f>IFERROR(VLOOKUP($A6,'SCH B'!$C$15:$E$25,3,FALSE),"")</f>
        <v/>
      </c>
      <c r="E6" s="360" t="str">
        <f>IFERROR(VLOOKUP($A6,'SCH B'!$C$15:$G$25,5,FALSE),"")</f>
        <v/>
      </c>
      <c r="F6" s="26" t="e">
        <f t="shared" si="0"/>
        <v>#VALUE!</v>
      </c>
    </row>
    <row r="7" spans="1:6" x14ac:dyDescent="0.3">
      <c r="A7" s="327" t="s">
        <v>194</v>
      </c>
      <c r="B7" s="327" t="s">
        <v>246</v>
      </c>
      <c r="C7" s="329" t="s">
        <v>46</v>
      </c>
      <c r="D7" s="345" t="str">
        <f>IFERROR(VLOOKUP($A7,'SCH B'!$C$15:$E$25,3,FALSE),"")</f>
        <v/>
      </c>
      <c r="E7" s="360" t="str">
        <f>IFERROR(VLOOKUP($A7,'SCH B'!$C$15:$G$25,5,FALSE),"")</f>
        <v/>
      </c>
      <c r="F7" s="346"/>
    </row>
    <row r="8" spans="1:6" x14ac:dyDescent="0.3">
      <c r="A8" s="326" t="s">
        <v>195</v>
      </c>
      <c r="B8" s="326" t="s">
        <v>252</v>
      </c>
      <c r="C8" s="328" t="s">
        <v>46</v>
      </c>
      <c r="D8" s="345" t="str">
        <f>IFERROR(VLOOKUP($A8,'SCH B'!$C$15:$E$25,3,FALSE),"")</f>
        <v/>
      </c>
      <c r="E8" s="360" t="str">
        <f>IFERROR(VLOOKUP($A8,'SCH B'!$C$15:$G$25,5,FALSE),"")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B'!$C$15:$E$25,3,FALSE),"")</f>
        <v/>
      </c>
      <c r="E9" s="360" t="str">
        <f>IFERROR(VLOOKUP($A9,'SCH B'!$C$15:$G$25,5,FALSE),"")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B'!$C$15:$E$25,3,FALSE),"")</f>
        <v/>
      </c>
      <c r="E10" s="360" t="str">
        <f>IFERROR(VLOOKUP($A10,'SCH B'!$C$15:$G$25,5,FALSE),"")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B'!$C$15:$E$25,3,FALSE),"")</f>
        <v/>
      </c>
      <c r="E11" s="360" t="str">
        <f>IFERROR(VLOOKUP($A11,'SCH B'!$C$15:$G$25,5,FALSE),"")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B'!$C$15:$E$25,3,FALSE),"")</f>
        <v/>
      </c>
      <c r="E12" s="360" t="str">
        <f>IFERROR(VLOOKUP($A12,'SCH B'!$C$15:$G$25,5,FALSE),"")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B'!$C$15:$E$25,3,FALSE),"")</f>
        <v/>
      </c>
      <c r="E13" s="360" t="str">
        <f>IFERROR(VLOOKUP($A13,'SCH B'!$C$15:$G$25,5,FALSE),"")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B'!$C$15:$E$25,3,FALSE),"")</f>
        <v/>
      </c>
      <c r="E14" s="360" t="str">
        <f>IFERROR(VLOOKUP($A14,'SCH B'!$C$15:$G$25,5,FALSE),"")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B'!$C$15:$E$25,3,FALSE),"")</f>
        <v/>
      </c>
      <c r="E15" s="360" t="str">
        <f>IFERROR(VLOOKUP($A15,'SCH B'!$C$15:$G$25,5,FALSE),"")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B'!$C$15:$E$25,3,FALSE),"")</f>
        <v/>
      </c>
      <c r="E16" s="360" t="str">
        <f>IFERROR(VLOOKUP($A16,'SCH B'!$C$15:$G$25,5,FALSE),"")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B'!$C$15:$E$25,3,FALSE),"")</f>
        <v/>
      </c>
      <c r="E17" s="360" t="str">
        <f>IFERROR(VLOOKUP($A17,'SCH B'!$C$15:$G$25,5,FALSE),"")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B'!$C$15:$E$25,3,FALSE),"")</f>
        <v/>
      </c>
      <c r="E18" s="360" t="str">
        <f>IFERROR(VLOOKUP($A18,'SCH B'!$C$15:$G$25,5,FALSE),"")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B'!$C$15:$E$25,3,FALSE),"")</f>
        <v/>
      </c>
      <c r="E19" s="360" t="str">
        <f>IFERROR(VLOOKUP($A19,'SCH B'!$C$15:$G$25,5,FALSE),"")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B'!$C$15:$E$25,3,FALSE),"")</f>
        <v/>
      </c>
      <c r="E20" s="360" t="str">
        <f>IFERROR(VLOOKUP($A20,'SCH B'!$C$15:$G$25,5,FALSE),"")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B'!$C$15:$E$25,3,FALSE),"")</f>
        <v/>
      </c>
      <c r="E21" s="360" t="str">
        <f>IFERROR(VLOOKUP($A21,'SCH B'!$C$15:$G$25,5,FALSE),"")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B'!$C$15:$E$25,3,FALSE),"")</f>
        <v/>
      </c>
      <c r="E22" s="360" t="str">
        <f>IFERROR(VLOOKUP($A22,'SCH B'!$C$15:$G$25,5,FALSE),"")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B'!$C$15:$E$25,3,FALSE),"")</f>
        <v/>
      </c>
      <c r="E23" s="360" t="str">
        <f>IFERROR(VLOOKUP($A23,'SCH B'!$C$15:$G$25,5,FALSE),"")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B'!$C$15:$E$25,3,FALSE),"")</f>
        <v/>
      </c>
      <c r="E24" s="360" t="str">
        <f>IFERROR(VLOOKUP($A24,'SCH B'!$C$15:$G$25,5,FALSE),"")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B'!$C$15:$E$25,3,FALSE),"")</f>
        <v/>
      </c>
      <c r="E25" s="360" t="str">
        <f>IFERROR(VLOOKUP($A25,'SCH B'!$C$15:$G$25,5,FALSE),"")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B'!$C$15:$E$25,3,FALSE),"")</f>
        <v/>
      </c>
      <c r="E26" s="360" t="str">
        <f>IFERROR(VLOOKUP($A26,'SCH B'!$C$15:$G$25,5,FALSE),"")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B'!$C$15:$E$25,3,FALSE),"")</f>
        <v/>
      </c>
      <c r="E27" s="360" t="str">
        <f>IFERROR(VLOOKUP($A27,'SCH B'!$C$15:$G$25,5,FALSE),"")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B'!$C$15:$E$25,3,FALSE),"")</f>
        <v/>
      </c>
      <c r="E28" s="360" t="str">
        <f>IFERROR(VLOOKUP($A28,'SCH B'!$C$15:$G$25,5,FALSE),"")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B'!$C$15:$E$25,3,FALSE),"")</f>
        <v/>
      </c>
      <c r="E29" s="360" t="str">
        <f>IFERROR(VLOOKUP($A29,'SCH B'!$C$15:$G$25,5,FALSE),"")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B'!$C$15:$E$25,3,FALSE),"")</f>
        <v/>
      </c>
      <c r="E30" s="360" t="str">
        <f>IFERROR(VLOOKUP($A30,'SCH B'!$C$15:$G$25,5,FALSE),"")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B'!$C$15:$E$25,3,FALSE),"")</f>
        <v/>
      </c>
      <c r="E31" s="360" t="str">
        <f>IFERROR(VLOOKUP($A31,'SCH B'!$C$15:$G$25,5,FALSE),"")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B'!$C$15:$E$25,3,FALSE),"")</f>
        <v/>
      </c>
      <c r="E32" s="360" t="str">
        <f>IFERROR(VLOOKUP($A32,'SCH B'!$C$15:$G$25,5,FALSE),"")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B'!$C$15:$E$25,3,FALSE),"")</f>
        <v/>
      </c>
      <c r="E33" s="360" t="str">
        <f>IFERROR(VLOOKUP($A33,'SCH B'!$C$15:$G$25,5,FALSE),"")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B'!$C$15:$E$25,3,FALSE),"")</f>
        <v/>
      </c>
      <c r="E34" s="360" t="str">
        <f>IFERROR(VLOOKUP($A34,'SCH B'!$C$15:$G$25,5,FALSE),"")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B'!$C$15:$E$25,3,FALSE),"")</f>
        <v/>
      </c>
      <c r="E35" s="360" t="str">
        <f>IFERROR(VLOOKUP($A35,'SCH B'!$C$15:$G$25,5,FALSE),"")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B'!$C$15:$E$25,3,FALSE),"")</f>
        <v/>
      </c>
      <c r="E36" s="360" t="str">
        <f>IFERROR(VLOOKUP($A36,'SCH B'!$C$15:$G$25,5,FALSE),"")</f>
        <v/>
      </c>
      <c r="F36" s="26" t="e">
        <f t="shared" si="1"/>
        <v>#VALUE!</v>
      </c>
    </row>
    <row r="37" spans="1:6" x14ac:dyDescent="0.3">
      <c r="A37" s="327" t="s">
        <v>187</v>
      </c>
      <c r="B37" s="327" t="s">
        <v>251</v>
      </c>
      <c r="C37" s="329" t="s">
        <v>277</v>
      </c>
      <c r="D37" s="345" t="str">
        <f>IFERROR(VLOOKUP($A37,'SCH B'!$C$15:$E$25,3,FALSE),"")</f>
        <v/>
      </c>
      <c r="E37" s="360" t="str">
        <f>IFERROR(VLOOKUP($A37,'SCH B'!$C$15:$G$25,5,FALSE),"")</f>
        <v/>
      </c>
      <c r="F37" s="26" t="e">
        <f t="shared" si="1"/>
        <v>#VALUE!</v>
      </c>
    </row>
    <row r="38" spans="1:6" x14ac:dyDescent="0.3">
      <c r="A38" s="326" t="s">
        <v>224</v>
      </c>
      <c r="B38" s="326" t="s">
        <v>278</v>
      </c>
      <c r="C38" s="328" t="s">
        <v>247</v>
      </c>
      <c r="D38" s="345" t="str">
        <f>IFERROR(VLOOKUP($A38,'SCH B'!$C$15:$E$25,3,FALSE),"")</f>
        <v/>
      </c>
      <c r="E38" s="360" t="str">
        <f>IFERROR(VLOOKUP($A38,'SCH B'!$C$15:$G$25,5,FALSE),"")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B'!$C$15:$E$25,3,FALSE),"")</f>
        <v/>
      </c>
      <c r="E39" s="360" t="str">
        <f>IFERROR(VLOOKUP($A39,'SCH B'!$C$15:$G$25,5,FALSE),"")</f>
        <v/>
      </c>
      <c r="F39" s="26" t="e">
        <f t="shared" si="2"/>
        <v>#VALUE!</v>
      </c>
    </row>
    <row r="40" spans="1:6" x14ac:dyDescent="0.3">
      <c r="A40" s="326" t="s">
        <v>226</v>
      </c>
      <c r="B40" s="326" t="s">
        <v>280</v>
      </c>
      <c r="C40" s="328" t="s">
        <v>247</v>
      </c>
      <c r="D40" s="345" t="str">
        <f>IFERROR(VLOOKUP($A40,'SCH B'!$C$15:$E$25,3,FALSE),"")</f>
        <v/>
      </c>
      <c r="E40" s="360" t="str">
        <f>IFERROR(VLOOKUP($A40,'SCH B'!$C$15:$G$25,5,FALSE),"")</f>
        <v/>
      </c>
      <c r="F40" s="26" t="e">
        <f t="shared" si="2"/>
        <v>#VALUE!</v>
      </c>
    </row>
    <row r="41" spans="1:6" x14ac:dyDescent="0.3">
      <c r="A41" s="327" t="s">
        <v>227</v>
      </c>
      <c r="B41" s="327" t="s">
        <v>281</v>
      </c>
      <c r="C41" s="329" t="s">
        <v>46</v>
      </c>
      <c r="D41" s="345" t="str">
        <f>IFERROR(VLOOKUP($A41,'SCH B'!$C$15:$E$25,3,FALSE),"")</f>
        <v/>
      </c>
      <c r="E41" s="360" t="str">
        <f>IFERROR(VLOOKUP($A41,'SCH B'!$C$15:$G$25,5,FALSE),"")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B'!$C$15:$E$25,3,FALSE),"")</f>
        <v/>
      </c>
      <c r="E42" s="360" t="str">
        <f>IFERROR(VLOOKUP($A42,'SCH B'!$C$15:$G$25,5,FALSE),"")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B'!$C$15:$E$25,3,FALSE),"")</f>
        <v/>
      </c>
      <c r="E43" s="360" t="str">
        <f>IFERROR(VLOOKUP($A43,'SCH B'!$C$15:$G$25,5,FALSE),"")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B'!$C$15:$E$25,3,FALSE),"")</f>
        <v/>
      </c>
      <c r="E44" s="360" t="str">
        <f>IFERROR(VLOOKUP($A44,'SCH B'!$C$15:$G$25,5,FALSE),"")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B'!$C$15:$E$25,3,FALSE),"")</f>
        <v/>
      </c>
      <c r="E45" s="360" t="str">
        <f>IFERROR(VLOOKUP($A45,'SCH B'!$C$15:$G$25,5,FALSE),"")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B'!$C$15:$E$25,3,FALSE),"")</f>
        <v/>
      </c>
      <c r="E46" s="360" t="str">
        <f>IFERROR(VLOOKUP($A46,'SCH B'!$C$15:$G$25,5,FALSE),"")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B'!$C$15:$E$25,3,FALSE),"")</f>
        <v/>
      </c>
      <c r="E47" s="360" t="str">
        <f>IFERROR(VLOOKUP($A47,'SCH B'!$C$15:$G$25,5,FALSE),"")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B'!$C$15:$E$25,3,FALSE),"")</f>
        <v/>
      </c>
      <c r="E48" s="360" t="str">
        <f>IFERROR(VLOOKUP($A48,'SCH B'!$C$15:$G$25,5,FALSE),"")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B'!$C$15:$E$25,3,FALSE),"")</f>
        <v/>
      </c>
      <c r="E49" s="360" t="str">
        <f>IFERROR(VLOOKUP($A49,'SCH B'!$C$15:$G$25,5,FALSE),"")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B'!$C$15:$E$25,3,FALSE),"")</f>
        <v/>
      </c>
      <c r="E50" s="360" t="str">
        <f>IFERROR(VLOOKUP($A50,'SCH B'!$C$15:$G$25,5,FALSE),"")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B'!$C$15:$E$25,3,FALSE),"")</f>
        <v/>
      </c>
      <c r="E51" s="360" t="str">
        <f>IFERROR(VLOOKUP($A51,'SCH B'!$C$15:$G$25,5,FALSE),"")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B'!$C$15:$E$25,3,FALSE),"")</f>
        <v/>
      </c>
      <c r="E52" s="360" t="str">
        <f>IFERROR(VLOOKUP($A52,'SCH B'!$C$15:$G$25,5,FALSE),"")</f>
        <v/>
      </c>
      <c r="F52" s="26" t="e">
        <f t="shared" si="3"/>
        <v>#VALUE!</v>
      </c>
    </row>
    <row r="53" spans="1:6" x14ac:dyDescent="0.3">
      <c r="A53" s="327" t="s">
        <v>239</v>
      </c>
      <c r="B53" s="327" t="s">
        <v>280</v>
      </c>
      <c r="C53" s="329" t="s">
        <v>277</v>
      </c>
      <c r="D53" s="345" t="str">
        <f>IFERROR(VLOOKUP($A53,'SCH B'!$C$15:$E$25,3,FALSE),"")</f>
        <v/>
      </c>
      <c r="E53" s="360" t="str">
        <f>IFERROR(VLOOKUP($A53,'SCH B'!$C$15:$G$25,5,FALSE),"")</f>
        <v/>
      </c>
      <c r="F53" s="26" t="e">
        <f t="shared" si="3"/>
        <v>#VALUE!</v>
      </c>
    </row>
    <row r="54" spans="1:6" x14ac:dyDescent="0.3">
      <c r="A54" s="326" t="s">
        <v>240</v>
      </c>
      <c r="B54" s="326" t="s">
        <v>291</v>
      </c>
      <c r="C54" s="328" t="s">
        <v>247</v>
      </c>
      <c r="D54" s="345" t="str">
        <f>IFERROR(VLOOKUP($A54,'SCH B'!$C$15:$E$25,3,FALSE),"")</f>
        <v/>
      </c>
      <c r="E54" s="360" t="str">
        <f>IFERROR(VLOOKUP($A54,'SCH B'!$C$15:$G$25,5,FALSE),"")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B'!$C$15:$E$25,3,FALSE),"")</f>
        <v/>
      </c>
      <c r="E55" s="360" t="str">
        <f>IFERROR(VLOOKUP($A55,'SCH B'!$C$15:$G$25,5,FALSE),"")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B'!$C$15:$E$25,3,FALSE),"")</f>
        <v/>
      </c>
      <c r="E56" s="360" t="str">
        <f>IFERROR(VLOOKUP($A56,'SCH B'!$C$15:$G$25,5,FALSE),"")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B'!$C$15:$E$25,3,FALSE),"")</f>
        <v/>
      </c>
      <c r="E57" s="360" t="str">
        <f>IFERROR(VLOOKUP($A57,'SCH B'!$C$15:$G$25,5,FALSE),"")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B'!$C$15:$E$25,3,FALSE),"")</f>
        <v/>
      </c>
      <c r="E58" s="360" t="str">
        <f>IFERROR(VLOOKUP($A58,'SCH B'!$C$15:$G$25,5,FALSE),"")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B'!$C$15:$E$25,3,FALSE),"")</f>
        <v/>
      </c>
      <c r="E59" s="360" t="str">
        <f>IFERROR(VLOOKUP($A59,'SCH B'!$C$15:$G$25,5,FALSE),"")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B'!$C$15:$E$25,3,FALSE),"")</f>
        <v/>
      </c>
      <c r="E60" s="360" t="str">
        <f>IFERROR(VLOOKUP($A60,'SCH B'!$C$15:$G$25,5,FALSE),"")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B'!$C$15:$E$25,3,FALSE),"")</f>
        <v/>
      </c>
      <c r="E61" s="360" t="str">
        <f>IFERROR(VLOOKUP($A61,'SCH B'!$C$15:$G$25,5,FALSE),"")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B'!$C$15:$E$25,3,FALSE),"")</f>
        <v/>
      </c>
      <c r="E62" s="360" t="str">
        <f>IFERROR(VLOOKUP($A62,'SCH B'!$C$15:$G$25,5,FALSE),"")</f>
        <v/>
      </c>
      <c r="F62" s="26" t="e">
        <f t="shared" si="5"/>
        <v>#VALUE!</v>
      </c>
    </row>
    <row r="63" spans="1:6" x14ac:dyDescent="0.3">
      <c r="A63" s="327" t="s">
        <v>320</v>
      </c>
      <c r="B63" s="329" t="s">
        <v>335</v>
      </c>
      <c r="C63" s="329" t="s">
        <v>247</v>
      </c>
      <c r="D63" s="345" t="str">
        <f>IFERROR(VLOOKUP($A63,'SCH B'!$C$15:$E$25,3,FALSE),"")</f>
        <v/>
      </c>
      <c r="E63" s="360" t="str">
        <f>IFERROR(VLOOKUP($A63,'SCH B'!$C$15:$G$25,5,FALSE),"")</f>
        <v/>
      </c>
      <c r="F63" s="26" t="e">
        <f t="shared" si="5"/>
        <v>#VALUE!</v>
      </c>
    </row>
    <row r="64" spans="1:6" x14ac:dyDescent="0.3">
      <c r="A64" s="326" t="s">
        <v>321</v>
      </c>
      <c r="B64" s="328" t="s">
        <v>336</v>
      </c>
      <c r="C64" s="328" t="s">
        <v>247</v>
      </c>
      <c r="D64" s="345" t="str">
        <f>IFERROR(VLOOKUP($A64,'SCH B'!$C$15:$E$25,3,FALSE),"")</f>
        <v/>
      </c>
      <c r="E64" s="360" t="str">
        <f>IFERROR(VLOOKUP($A64,'SCH B'!$C$15:$G$25,5,FALSE),"")</f>
        <v/>
      </c>
      <c r="F64" s="26" t="e">
        <f t="shared" si="5"/>
        <v>#VALUE!</v>
      </c>
    </row>
    <row r="65" spans="1:6" x14ac:dyDescent="0.3">
      <c r="A65" s="327" t="s">
        <v>322</v>
      </c>
      <c r="B65" s="329" t="s">
        <v>337</v>
      </c>
      <c r="C65" s="329" t="s">
        <v>247</v>
      </c>
      <c r="D65" s="345" t="str">
        <f>IFERROR(VLOOKUP($A65,'SCH B'!$C$15:$E$25,3,FALSE),"")</f>
        <v/>
      </c>
      <c r="E65" s="360" t="str">
        <f>IFERROR(VLOOKUP($A65,'SCH B'!$C$15:$G$25,5,FALSE),"")</f>
        <v/>
      </c>
      <c r="F65" s="26" t="e">
        <f t="shared" si="5"/>
        <v>#VALUE!</v>
      </c>
    </row>
    <row r="66" spans="1:6" x14ac:dyDescent="0.3">
      <c r="A66" s="326" t="s">
        <v>323</v>
      </c>
      <c r="B66" s="328" t="s">
        <v>333</v>
      </c>
      <c r="C66" s="328" t="s">
        <v>46</v>
      </c>
      <c r="D66" s="345" t="str">
        <f>IFERROR(VLOOKUP($A66,'SCH B'!$C$15:$E$25,3,FALSE),"")</f>
        <v/>
      </c>
      <c r="E66" s="360" t="str">
        <f>IFERROR(VLOOKUP($A66,'SCH B'!$C$15:$G$25,5,FALSE),"")</f>
        <v/>
      </c>
      <c r="F66" s="345"/>
    </row>
    <row r="67" spans="1:6" x14ac:dyDescent="0.3">
      <c r="A67" s="327" t="s">
        <v>324</v>
      </c>
      <c r="B67" s="329" t="s">
        <v>334</v>
      </c>
      <c r="C67" s="329" t="s">
        <v>46</v>
      </c>
      <c r="D67" s="345" t="str">
        <f>IFERROR(VLOOKUP($A67,'SCH B'!$C$15:$E$25,3,FALSE),"")</f>
        <v/>
      </c>
      <c r="E67" s="360" t="str">
        <f>IFERROR(VLOOKUP($A67,'SCH B'!$C$15:$G$25,5,FALSE),"")</f>
        <v/>
      </c>
      <c r="F67" s="345"/>
    </row>
    <row r="68" spans="1:6" x14ac:dyDescent="0.3">
      <c r="A68" s="326" t="s">
        <v>325</v>
      </c>
      <c r="B68" s="328" t="s">
        <v>335</v>
      </c>
      <c r="C68" s="328" t="s">
        <v>46</v>
      </c>
      <c r="D68" s="345" t="str">
        <f>IFERROR(VLOOKUP($A68,'SCH B'!$C$15:$E$25,3,FALSE),"")</f>
        <v/>
      </c>
      <c r="E68" s="360" t="str">
        <f>IFERROR(VLOOKUP($A68,'SCH B'!$C$15:$G$25,5,FALSE),"")</f>
        <v/>
      </c>
      <c r="F68" s="345"/>
    </row>
    <row r="69" spans="1:6" x14ac:dyDescent="0.3">
      <c r="A69" s="327" t="s">
        <v>326</v>
      </c>
      <c r="B69" s="329" t="s">
        <v>336</v>
      </c>
      <c r="C69" s="329" t="s">
        <v>46</v>
      </c>
      <c r="D69" s="345" t="str">
        <f>IFERROR(VLOOKUP($A69,'SCH B'!$C$15:$E$25,3,FALSE),"")</f>
        <v/>
      </c>
      <c r="E69" s="360" t="str">
        <f>IFERROR(VLOOKUP($A69,'SCH B'!$C$15:$G$25,5,FALSE),"")</f>
        <v/>
      </c>
      <c r="F69" s="345"/>
    </row>
    <row r="70" spans="1:6" x14ac:dyDescent="0.3">
      <c r="A70" s="326" t="s">
        <v>327</v>
      </c>
      <c r="B70" s="328" t="s">
        <v>337</v>
      </c>
      <c r="C70" s="328" t="s">
        <v>46</v>
      </c>
      <c r="D70" s="345" t="str">
        <f>IFERROR(VLOOKUP($A70,'SCH B'!$C$15:$E$25,3,FALSE),"")</f>
        <v/>
      </c>
      <c r="E70" s="360" t="str">
        <f>IFERROR(VLOOKUP($A70,'SCH B'!$C$15:$G$25,5,FALSE),"")</f>
        <v/>
      </c>
      <c r="F70" s="345"/>
    </row>
    <row r="71" spans="1:6" x14ac:dyDescent="0.3">
      <c r="A71" s="327" t="s">
        <v>328</v>
      </c>
      <c r="B71" s="329" t="s">
        <v>333</v>
      </c>
      <c r="C71" s="329" t="s">
        <v>277</v>
      </c>
      <c r="D71" s="345" t="str">
        <f>IFERROR(VLOOKUP($A71,'SCH B'!$C$15:$E$25,3,FALSE),"")</f>
        <v/>
      </c>
      <c r="E71" s="360" t="str">
        <f>IFERROR(VLOOKUP($A71,'SCH B'!$C$15:$G$25,5,FALSE),"")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B'!$C$15:$E$25,3,FALSE),"")</f>
        <v/>
      </c>
      <c r="E72" s="360" t="str">
        <f>IFERROR(VLOOKUP($A72,'SCH B'!$C$15:$G$25,5,FALSE),"")</f>
        <v/>
      </c>
      <c r="F72" s="26" t="e">
        <f t="shared" si="6"/>
        <v>#VALUE!</v>
      </c>
    </row>
    <row r="73" spans="1:6" x14ac:dyDescent="0.3">
      <c r="A73" s="327" t="s">
        <v>330</v>
      </c>
      <c r="B73" s="329" t="s">
        <v>335</v>
      </c>
      <c r="C73" s="329" t="s">
        <v>277</v>
      </c>
      <c r="D73" s="345" t="str">
        <f>IFERROR(VLOOKUP($A73,'SCH B'!$C$15:$E$25,3,FALSE),"")</f>
        <v/>
      </c>
      <c r="E73" s="360" t="str">
        <f>IFERROR(VLOOKUP($A73,'SCH B'!$C$15:$G$25,5,FALSE),"")</f>
        <v/>
      </c>
      <c r="F73" s="26" t="e">
        <f t="shared" si="6"/>
        <v>#VALUE!</v>
      </c>
    </row>
    <row r="74" spans="1:6" x14ac:dyDescent="0.3">
      <c r="A74" s="326" t="s">
        <v>331</v>
      </c>
      <c r="B74" s="328" t="s">
        <v>336</v>
      </c>
      <c r="C74" s="328" t="s">
        <v>277</v>
      </c>
      <c r="D74" s="345" t="str">
        <f>IFERROR(VLOOKUP($A74,'SCH B'!$C$15:$E$25,3,FALSE),"")</f>
        <v/>
      </c>
      <c r="E74" s="360" t="str">
        <f>IFERROR(VLOOKUP($A74,'SCH B'!$C$15:$G$25,5,FALSE),"")</f>
        <v/>
      </c>
      <c r="F74" s="26" t="e">
        <f t="shared" si="6"/>
        <v>#VALUE!</v>
      </c>
    </row>
    <row r="75" spans="1:6" x14ac:dyDescent="0.3">
      <c r="A75" s="327" t="s">
        <v>332</v>
      </c>
      <c r="B75" s="329" t="s">
        <v>337</v>
      </c>
      <c r="C75" s="329" t="s">
        <v>277</v>
      </c>
      <c r="D75" s="345" t="str">
        <f>IFERROR(VLOOKUP($A75,'SCH B'!$C$15:$E$25,3,FALSE),"")</f>
        <v/>
      </c>
      <c r="E75" s="360" t="str">
        <f>IFERROR(VLOOKUP($A75,'SCH B'!$C$15:$G$25,5,FALSE),"")</f>
        <v/>
      </c>
      <c r="F75" s="26" t="e">
        <f t="shared" si="6"/>
        <v>#VALUE!</v>
      </c>
    </row>
    <row r="76" spans="1:6" x14ac:dyDescent="0.3">
      <c r="A76" s="326" t="s">
        <v>338</v>
      </c>
      <c r="B76" s="326" t="s">
        <v>350</v>
      </c>
      <c r="C76" s="326" t="s">
        <v>351</v>
      </c>
      <c r="D76" s="345" t="str">
        <f>IFERROR(VLOOKUP($A76,'SCH B'!$C$15:$E$25,3,FALSE),"")</f>
        <v/>
      </c>
      <c r="E76" s="360" t="str">
        <f>IFERROR(VLOOKUP($A76,'SCH B'!$C$15:$G$25,5,FALSE),"")</f>
        <v/>
      </c>
      <c r="F76" s="345"/>
    </row>
    <row r="77" spans="1:6" x14ac:dyDescent="0.3">
      <c r="A77" s="327" t="s">
        <v>339</v>
      </c>
      <c r="B77" s="327" t="s">
        <v>352</v>
      </c>
      <c r="C77" s="327" t="s">
        <v>351</v>
      </c>
      <c r="D77" s="345" t="str">
        <f>IFERROR(VLOOKUP($A77,'SCH B'!$C$15:$E$25,3,FALSE),"")</f>
        <v/>
      </c>
      <c r="E77" s="360" t="str">
        <f>IFERROR(VLOOKUP($A77,'SCH B'!$C$15:$G$25,5,FALSE),"")</f>
        <v/>
      </c>
      <c r="F77" s="345"/>
    </row>
    <row r="78" spans="1:6" x14ac:dyDescent="0.3">
      <c r="A78" s="326" t="s">
        <v>340</v>
      </c>
      <c r="B78" s="326" t="s">
        <v>353</v>
      </c>
      <c r="C78" s="326" t="s">
        <v>351</v>
      </c>
      <c r="D78" s="345" t="str">
        <f>IFERROR(VLOOKUP($A78,'SCH B'!$C$15:$E$25,3,FALSE),"")</f>
        <v/>
      </c>
      <c r="E78" s="360" t="str">
        <f>IFERROR(VLOOKUP($A78,'SCH B'!$C$15:$G$25,5,FALSE),"")</f>
        <v/>
      </c>
      <c r="F78" s="345"/>
    </row>
    <row r="79" spans="1:6" x14ac:dyDescent="0.3">
      <c r="A79" s="327" t="s">
        <v>341</v>
      </c>
      <c r="B79" s="327" t="s">
        <v>354</v>
      </c>
      <c r="C79" s="327" t="s">
        <v>351</v>
      </c>
      <c r="D79" s="345" t="str">
        <f>IFERROR(VLOOKUP($A79,'SCH B'!$C$15:$E$25,3,FALSE),"")</f>
        <v/>
      </c>
      <c r="E79" s="360" t="str">
        <f>IFERROR(VLOOKUP($A79,'SCH B'!$C$15:$G$25,5,FALSE),"")</f>
        <v/>
      </c>
      <c r="F79" s="345"/>
    </row>
    <row r="80" spans="1:6" x14ac:dyDescent="0.3">
      <c r="A80" s="326" t="s">
        <v>342</v>
      </c>
      <c r="B80" s="326" t="s">
        <v>350</v>
      </c>
      <c r="C80" s="326" t="s">
        <v>46</v>
      </c>
      <c r="D80" s="345" t="str">
        <f>IFERROR(VLOOKUP($A80,'SCH B'!$C$15:$E$25,3,FALSE),"")</f>
        <v/>
      </c>
      <c r="E80" s="360" t="str">
        <f>IFERROR(VLOOKUP($A80,'SCH B'!$C$15:$G$25,5,FALSE),"")</f>
        <v/>
      </c>
      <c r="F80" s="345"/>
    </row>
    <row r="81" spans="1:6" x14ac:dyDescent="0.3">
      <c r="A81" s="327" t="s">
        <v>343</v>
      </c>
      <c r="B81" s="334" t="s">
        <v>352</v>
      </c>
      <c r="C81" s="327" t="s">
        <v>46</v>
      </c>
      <c r="D81" s="345" t="str">
        <f>IFERROR(VLOOKUP($A81,'SCH B'!$C$15:$E$25,3,FALSE),"")</f>
        <v/>
      </c>
      <c r="E81" s="360" t="str">
        <f>IFERROR(VLOOKUP($A81,'SCH B'!$C$15:$G$25,5,FALSE),"")</f>
        <v/>
      </c>
      <c r="F81" s="345"/>
    </row>
    <row r="82" spans="1:6" ht="27.6" x14ac:dyDescent="0.3">
      <c r="A82" s="326" t="s">
        <v>344</v>
      </c>
      <c r="B82" s="335" t="s">
        <v>353</v>
      </c>
      <c r="C82" s="326" t="s">
        <v>46</v>
      </c>
      <c r="D82" s="345" t="str">
        <f>IFERROR(VLOOKUP($A82,'SCH B'!$C$15:$E$25,3,FALSE),"")</f>
        <v/>
      </c>
      <c r="E82" s="360" t="str">
        <f>IFERROR(VLOOKUP($A82,'SCH B'!$C$15:$G$25,5,FALSE),"")</f>
        <v/>
      </c>
      <c r="F82" s="345"/>
    </row>
    <row r="83" spans="1:6" ht="27.6" x14ac:dyDescent="0.3">
      <c r="A83" s="327" t="s">
        <v>345</v>
      </c>
      <c r="B83" s="334" t="s">
        <v>354</v>
      </c>
      <c r="C83" s="327" t="s">
        <v>46</v>
      </c>
      <c r="D83" s="345" t="str">
        <f>IFERROR(VLOOKUP($A83,'SCH B'!$C$15:$E$25,3,FALSE),"")</f>
        <v/>
      </c>
      <c r="E83" s="360" t="str">
        <f>IFERROR(VLOOKUP($A83,'SCH B'!$C$15:$G$25,5,FALSE),"")</f>
        <v/>
      </c>
      <c r="F83" s="345"/>
    </row>
    <row r="84" spans="1:6" x14ac:dyDescent="0.3">
      <c r="A84" s="326" t="s">
        <v>346</v>
      </c>
      <c r="B84" s="326" t="s">
        <v>350</v>
      </c>
      <c r="C84" s="326" t="s">
        <v>247</v>
      </c>
      <c r="D84" s="345" t="str">
        <f>IFERROR(VLOOKUP($A84,'SCH B'!$C$15:$E$25,3,FALSE),"")</f>
        <v/>
      </c>
      <c r="E84" s="360" t="str">
        <f>IFERROR(VLOOKUP($A84,'SCH B'!$C$15:$G$25,5,FALSE),"")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B'!$C$15:$E$25,3,FALSE),"")</f>
        <v/>
      </c>
      <c r="E85" s="360" t="str">
        <f>IFERROR(VLOOKUP($A85,'SCH B'!$C$15:$G$25,5,FALSE),"")</f>
        <v/>
      </c>
      <c r="F85" s="26" t="e">
        <f t="shared" si="7"/>
        <v>#VALUE!</v>
      </c>
    </row>
    <row r="86" spans="1:6" x14ac:dyDescent="0.3">
      <c r="A86" s="326" t="s">
        <v>348</v>
      </c>
      <c r="B86" s="326" t="s">
        <v>353</v>
      </c>
      <c r="C86" s="326" t="s">
        <v>247</v>
      </c>
      <c r="D86" s="345" t="str">
        <f>IFERROR(VLOOKUP($A86,'SCH B'!$C$15:$E$25,3,FALSE),"")</f>
        <v/>
      </c>
      <c r="E86" s="360" t="str">
        <f>IFERROR(VLOOKUP($A86,'SCH B'!$C$15:$G$25,5,FALSE),"")</f>
        <v/>
      </c>
      <c r="F86" s="26" t="e">
        <f t="shared" si="7"/>
        <v>#VALUE!</v>
      </c>
    </row>
    <row r="87" spans="1:6" x14ac:dyDescent="0.3">
      <c r="A87" s="327" t="s">
        <v>349</v>
      </c>
      <c r="B87" s="327" t="s">
        <v>354</v>
      </c>
      <c r="C87" s="327" t="s">
        <v>247</v>
      </c>
      <c r="D87" s="345" t="str">
        <f>IFERROR(VLOOKUP($A87,'SCH B'!$C$15:$E$25,3,FALSE),"")</f>
        <v/>
      </c>
      <c r="E87" s="360" t="str">
        <f>IFERROR(VLOOKUP($A87,'SCH B'!$C$15:$G$25,5,FALSE),"")</f>
        <v/>
      </c>
      <c r="F87" s="26" t="e">
        <f t="shared" si="7"/>
        <v>#VALUE!</v>
      </c>
    </row>
    <row r="88" spans="1:6" x14ac:dyDescent="0.3">
      <c r="A88" s="326" t="s">
        <v>355</v>
      </c>
      <c r="B88" s="326" t="s">
        <v>356</v>
      </c>
      <c r="C88" s="328" t="s">
        <v>247</v>
      </c>
      <c r="D88" s="345" t="str">
        <f>IFERROR(VLOOKUP($A88,'SCH B'!$C$15:$E$25,3,FALSE),"")</f>
        <v/>
      </c>
      <c r="E88" s="360" t="str">
        <f>IFERROR(VLOOKUP($A88,'SCH B'!$C$15:$G$25,5,FALSE),"")</f>
        <v/>
      </c>
      <c r="F88" s="345"/>
    </row>
    <row r="89" spans="1:6" x14ac:dyDescent="0.3">
      <c r="A89" s="327" t="s">
        <v>357</v>
      </c>
      <c r="B89" s="327" t="s">
        <v>304</v>
      </c>
      <c r="C89" s="327" t="s">
        <v>247</v>
      </c>
      <c r="D89" s="345" t="str">
        <f>IFERROR(VLOOKUP($A89,'SCH B'!$C$15:$E$25,3,FALSE),"")</f>
        <v/>
      </c>
      <c r="E89" s="360" t="str">
        <f>IFERROR(VLOOKUP($A89,'SCH B'!$C$15:$G$25,5,FALSE),"")</f>
        <v/>
      </c>
      <c r="F89" s="26" t="e">
        <f>IF((D89&gt;=1575),ROUND(E89*0.01,2),"-")</f>
        <v>#VALUE!</v>
      </c>
    </row>
    <row r="90" spans="1:6" x14ac:dyDescent="0.3">
      <c r="A90" s="326" t="s">
        <v>358</v>
      </c>
      <c r="B90" s="326" t="s">
        <v>305</v>
      </c>
      <c r="C90" s="326" t="s">
        <v>247</v>
      </c>
      <c r="D90" s="345" t="str">
        <f>IFERROR(VLOOKUP($A90,'SCH B'!$C$15:$E$25,3,FALSE),"")</f>
        <v/>
      </c>
      <c r="E90" s="360" t="str">
        <f>IFERROR(VLOOKUP($A90,'SCH B'!$C$15:$G$25,5,FALSE),"")</f>
        <v/>
      </c>
      <c r="F90" s="26" t="e">
        <f>IF((D90&gt;=1050),ROUND(E90*0.01,2),"-")</f>
        <v>#VALUE!</v>
      </c>
    </row>
    <row r="91" spans="1:6" x14ac:dyDescent="0.3">
      <c r="A91" s="327" t="s">
        <v>359</v>
      </c>
      <c r="B91" s="327" t="s">
        <v>306</v>
      </c>
      <c r="C91" s="327" t="s">
        <v>247</v>
      </c>
      <c r="D91" s="345" t="str">
        <f>IFERROR(VLOOKUP($A91,'SCH B'!$C$15:$E$25,3,FALSE),"")</f>
        <v/>
      </c>
      <c r="E91" s="360" t="str">
        <f>IFERROR(VLOOKUP($A91,'SCH B'!$C$15:$G$25,5,FALSE),"")</f>
        <v/>
      </c>
      <c r="F91" s="26" t="e">
        <f>IF((D91&gt;=787.5),ROUND(E91*0.01,2),"-")</f>
        <v>#VALUE!</v>
      </c>
    </row>
    <row r="92" spans="1:6" x14ac:dyDescent="0.3">
      <c r="A92" s="326" t="s">
        <v>360</v>
      </c>
      <c r="B92" s="326" t="s">
        <v>307</v>
      </c>
      <c r="C92" s="326" t="s">
        <v>247</v>
      </c>
      <c r="D92" s="345" t="str">
        <f>IFERROR(VLOOKUP($A92,'SCH B'!$C$15:$E$25,3,FALSE),"")</f>
        <v/>
      </c>
      <c r="E92" s="360" t="str">
        <f>IFERROR(VLOOKUP($A92,'SCH B'!$C$15:$G$25,5,FALSE),"")</f>
        <v/>
      </c>
      <c r="F92" s="26" t="e">
        <f>IF((D92&gt;=393.75),ROUND(E92*0.01,2),"-")</f>
        <v>#VALUE!</v>
      </c>
    </row>
    <row r="93" spans="1:6" x14ac:dyDescent="0.3">
      <c r="A93" s="327" t="s">
        <v>361</v>
      </c>
      <c r="B93" s="327" t="s">
        <v>367</v>
      </c>
      <c r="C93" s="327" t="s">
        <v>247</v>
      </c>
      <c r="D93" s="345" t="str">
        <f>IFERROR(VLOOKUP($A93,'SCH B'!$C$15:$E$25,3,FALSE),"")</f>
        <v/>
      </c>
      <c r="E93" s="360" t="str">
        <f>IFERROR(VLOOKUP($A93,'SCH B'!$C$15:$G$25,5,FALSE),"")</f>
        <v/>
      </c>
      <c r="F93" s="26" t="e">
        <f>IF((D93&gt;=(1575*2)),ROUND(E93*0.01,2),"-")</f>
        <v>#VALUE!</v>
      </c>
    </row>
    <row r="94" spans="1:6" x14ac:dyDescent="0.3">
      <c r="A94" s="326" t="s">
        <v>362</v>
      </c>
      <c r="B94" s="326" t="s">
        <v>368</v>
      </c>
      <c r="C94" s="326" t="s">
        <v>247</v>
      </c>
      <c r="D94" s="345" t="str">
        <f>IFERROR(VLOOKUP($A94,'SCH B'!$C$15:$E$25,3,FALSE),"")</f>
        <v/>
      </c>
      <c r="E94" s="360" t="str">
        <f>IFERROR(VLOOKUP($A94,'SCH B'!$C$15:$G$25,5,FALSE),"")</f>
        <v/>
      </c>
      <c r="F94" s="26" t="e">
        <f>IF((D94&gt;=(787.5*2)),ROUND(E94*0.01,2),"-")</f>
        <v>#VALUE!</v>
      </c>
    </row>
    <row r="95" spans="1:6" x14ac:dyDescent="0.3">
      <c r="A95" s="327" t="s">
        <v>363</v>
      </c>
      <c r="B95" s="327" t="s">
        <v>369</v>
      </c>
      <c r="C95" s="327" t="s">
        <v>247</v>
      </c>
      <c r="D95" s="345" t="str">
        <f>IFERROR(VLOOKUP($A95,'SCH B'!$C$15:$E$25,3,FALSE),"")</f>
        <v/>
      </c>
      <c r="E95" s="360" t="str">
        <f>IFERROR(VLOOKUP($A95,'SCH B'!$C$15:$G$25,5,FALSE),"")</f>
        <v/>
      </c>
      <c r="F95" s="26" t="e">
        <f>IF((D95&gt;=(1050*2)),ROUND(E95*0.01,2),"-")</f>
        <v>#VALUE!</v>
      </c>
    </row>
    <row r="96" spans="1:6" x14ac:dyDescent="0.3">
      <c r="A96" s="326" t="s">
        <v>364</v>
      </c>
      <c r="B96" s="326" t="s">
        <v>370</v>
      </c>
      <c r="C96" s="326" t="s">
        <v>247</v>
      </c>
      <c r="D96" s="345" t="str">
        <f>IFERROR(VLOOKUP($A96,'SCH B'!$C$15:$E$25,3,FALSE),"")</f>
        <v/>
      </c>
      <c r="E96" s="360" t="str">
        <f>IFERROR(VLOOKUP($A96,'SCH B'!$C$15:$G$25,5,FALSE),"")</f>
        <v/>
      </c>
      <c r="F96" s="26" t="e">
        <f>IF((D96&gt;=(787.5*2)),ROUND(E96*0.01,2),"-")</f>
        <v>#VALUE!</v>
      </c>
    </row>
    <row r="97" spans="1:6" x14ac:dyDescent="0.3">
      <c r="A97" s="327" t="s">
        <v>365</v>
      </c>
      <c r="B97" s="327" t="s">
        <v>371</v>
      </c>
      <c r="C97" s="327" t="s">
        <v>247</v>
      </c>
      <c r="D97" s="345" t="str">
        <f>IFERROR(VLOOKUP($A97,'SCH B'!$C$15:$E$25,3,FALSE),"")</f>
        <v/>
      </c>
      <c r="E97" s="360" t="str">
        <f>IFERROR(VLOOKUP($A97,'SCH B'!$C$15:$G$25,5,FALSE),"")</f>
        <v/>
      </c>
      <c r="F97" s="26" t="e">
        <f>IF((D97&gt;=(787.5*2)),ROUND(E97*0.01,2),"-")</f>
        <v>#VALUE!</v>
      </c>
    </row>
    <row r="98" spans="1:6" x14ac:dyDescent="0.3">
      <c r="A98" s="326" t="s">
        <v>366</v>
      </c>
      <c r="B98" s="326" t="s">
        <v>372</v>
      </c>
      <c r="C98" s="326" t="s">
        <v>247</v>
      </c>
      <c r="D98" s="345" t="str">
        <f>IFERROR(VLOOKUP($A98,'SCH B'!$C$15:$E$25,3,FALSE),"")</f>
        <v/>
      </c>
      <c r="E98" s="360" t="str">
        <f>IFERROR(VLOOKUP($A98,'SCH B'!$C$15:$G$25,5,FALSE),"")</f>
        <v/>
      </c>
      <c r="F98" s="26" t="e">
        <f>IF((D98&gt;=(393.75*2)),ROUND(E98*0.01,2),"-")</f>
        <v>#VALUE!</v>
      </c>
    </row>
    <row r="99" spans="1:6" x14ac:dyDescent="0.3">
      <c r="A99" s="327" t="s">
        <v>297</v>
      </c>
      <c r="B99" s="327" t="s">
        <v>304</v>
      </c>
      <c r="C99" s="327" t="s">
        <v>46</v>
      </c>
      <c r="D99" s="345" t="str">
        <f>IFERROR(VLOOKUP($A99,'SCH B'!$C$15:$E$25,3,FALSE),"")</f>
        <v/>
      </c>
      <c r="E99" s="360" t="str">
        <f>IFERROR(VLOOKUP($A99,'SCH B'!$C$15:$G$25,5,FALSE),"")</f>
        <v/>
      </c>
      <c r="F99" s="26" t="e">
        <f>IF((D99&gt;=40000),ROUND(E99*0.05,2),"-")</f>
        <v>#VALUE!</v>
      </c>
    </row>
    <row r="100" spans="1:6" x14ac:dyDescent="0.3">
      <c r="A100" s="326" t="s">
        <v>298</v>
      </c>
      <c r="B100" s="326" t="s">
        <v>305</v>
      </c>
      <c r="C100" s="326" t="s">
        <v>46</v>
      </c>
      <c r="D100" s="345" t="str">
        <f>IFERROR(VLOOKUP($A100,'SCH B'!$C$15:$E$25,3,FALSE),"")</f>
        <v/>
      </c>
      <c r="E100" s="360" t="str">
        <f>IFERROR(VLOOKUP($A100,'SCH B'!$C$15:$G$25,5,FALSE),"")</f>
        <v/>
      </c>
      <c r="F100" s="26" t="e">
        <f t="shared" ref="F100:F105" si="8">IF((D100&gt;=40000),ROUND(E100*0.05,2),"-")</f>
        <v>#VALUE!</v>
      </c>
    </row>
    <row r="101" spans="1:6" x14ac:dyDescent="0.3">
      <c r="A101" s="327" t="s">
        <v>299</v>
      </c>
      <c r="B101" s="327" t="s">
        <v>306</v>
      </c>
      <c r="C101" s="327" t="s">
        <v>46</v>
      </c>
      <c r="D101" s="345" t="str">
        <f>IFERROR(VLOOKUP($A101,'SCH B'!$C$15:$E$25,3,FALSE),"")</f>
        <v/>
      </c>
      <c r="E101" s="360" t="str">
        <f>IFERROR(VLOOKUP($A101,'SCH B'!$C$15:$G$25,5,FALSE),"")</f>
        <v/>
      </c>
      <c r="F101" s="26" t="e">
        <f t="shared" si="8"/>
        <v>#VALUE!</v>
      </c>
    </row>
    <row r="102" spans="1:6" x14ac:dyDescent="0.3">
      <c r="A102" s="326" t="s">
        <v>300</v>
      </c>
      <c r="B102" s="326" t="s">
        <v>307</v>
      </c>
      <c r="C102" s="326" t="s">
        <v>46</v>
      </c>
      <c r="D102" s="345" t="str">
        <f>IFERROR(VLOOKUP($A102,'SCH B'!$C$15:$E$25,3,FALSE),"")</f>
        <v/>
      </c>
      <c r="E102" s="360" t="str">
        <f>IFERROR(VLOOKUP($A102,'SCH B'!$C$15:$G$25,5,FALSE),"")</f>
        <v/>
      </c>
      <c r="F102" s="26" t="e">
        <f t="shared" si="8"/>
        <v>#VALUE!</v>
      </c>
    </row>
    <row r="103" spans="1:6" x14ac:dyDescent="0.3">
      <c r="A103" s="327" t="s">
        <v>301</v>
      </c>
      <c r="B103" s="327" t="s">
        <v>308</v>
      </c>
      <c r="C103" s="327" t="s">
        <v>46</v>
      </c>
      <c r="D103" s="345" t="str">
        <f>IFERROR(VLOOKUP($A103,'SCH B'!$C$15:$E$25,3,FALSE),"")</f>
        <v/>
      </c>
      <c r="E103" s="360" t="str">
        <f>IFERROR(VLOOKUP($A103,'SCH B'!$C$15:$G$25,5,FALSE),"")</f>
        <v/>
      </c>
      <c r="F103" s="26" t="e">
        <f t="shared" si="8"/>
        <v>#VALUE!</v>
      </c>
    </row>
    <row r="104" spans="1:6" x14ac:dyDescent="0.3">
      <c r="A104" s="326" t="s">
        <v>302</v>
      </c>
      <c r="B104" s="326" t="s">
        <v>309</v>
      </c>
      <c r="C104" s="326" t="s">
        <v>46</v>
      </c>
      <c r="D104" s="345" t="str">
        <f>IFERROR(VLOOKUP($A104,'SCH B'!$C$15:$E$25,3,FALSE),"")</f>
        <v/>
      </c>
      <c r="E104" s="360" t="str">
        <f>IFERROR(VLOOKUP($A104,'SCH B'!$C$15:$G$25,5,FALSE),"")</f>
        <v/>
      </c>
      <c r="F104" s="26" t="e">
        <f t="shared" si="8"/>
        <v>#VALUE!</v>
      </c>
    </row>
    <row r="105" spans="1:6" x14ac:dyDescent="0.3">
      <c r="A105" s="327" t="s">
        <v>303</v>
      </c>
      <c r="B105" s="327" t="s">
        <v>310</v>
      </c>
      <c r="C105" s="327" t="s">
        <v>46</v>
      </c>
      <c r="D105" s="345" t="str">
        <f>IFERROR(VLOOKUP($A105,'SCH B'!$C$15:$E$25,3,FALSE),"")</f>
        <v/>
      </c>
      <c r="E105" s="360" t="str">
        <f>IFERROR(VLOOKUP($A105,'SCH B'!$C$15:$G$25,5,FALSE),"")</f>
        <v/>
      </c>
      <c r="F105" s="26" t="e">
        <f t="shared" si="8"/>
        <v>#VALUE!</v>
      </c>
    </row>
    <row r="106" spans="1:6" hidden="1" x14ac:dyDescent="0.3">
      <c r="A106" s="337" t="s">
        <v>373</v>
      </c>
      <c r="B106" s="338" t="s">
        <v>394</v>
      </c>
      <c r="C106" s="339" t="s">
        <v>247</v>
      </c>
    </row>
    <row r="107" spans="1:6" hidden="1" x14ac:dyDescent="0.3">
      <c r="A107" s="327" t="s">
        <v>374</v>
      </c>
      <c r="B107" s="327" t="s">
        <v>395</v>
      </c>
      <c r="C107" s="329" t="s">
        <v>247</v>
      </c>
    </row>
    <row r="108" spans="1:6" hidden="1" x14ac:dyDescent="0.3">
      <c r="A108" s="326" t="s">
        <v>375</v>
      </c>
      <c r="B108" s="326" t="s">
        <v>396</v>
      </c>
      <c r="C108" s="328" t="s">
        <v>247</v>
      </c>
    </row>
    <row r="109" spans="1:6" hidden="1" x14ac:dyDescent="0.3">
      <c r="A109" s="327" t="s">
        <v>376</v>
      </c>
      <c r="B109" s="327" t="s">
        <v>397</v>
      </c>
      <c r="C109" s="329" t="s">
        <v>247</v>
      </c>
    </row>
    <row r="110" spans="1:6" hidden="1" x14ac:dyDescent="0.3">
      <c r="A110" s="326" t="s">
        <v>377</v>
      </c>
      <c r="B110" s="326" t="s">
        <v>398</v>
      </c>
      <c r="C110" s="328" t="s">
        <v>247</v>
      </c>
    </row>
    <row r="111" spans="1:6" hidden="1" x14ac:dyDescent="0.3">
      <c r="A111" s="327" t="s">
        <v>378</v>
      </c>
      <c r="B111" s="327" t="s">
        <v>399</v>
      </c>
      <c r="C111" s="329" t="s">
        <v>247</v>
      </c>
    </row>
    <row r="112" spans="1:6" hidden="1" x14ac:dyDescent="0.3">
      <c r="A112" s="326" t="s">
        <v>379</v>
      </c>
      <c r="B112" s="326" t="s">
        <v>400</v>
      </c>
      <c r="C112" s="328" t="s">
        <v>247</v>
      </c>
    </row>
    <row r="113" spans="1:3" hidden="1" x14ac:dyDescent="0.3">
      <c r="A113" s="327" t="s">
        <v>380</v>
      </c>
      <c r="B113" s="327" t="s">
        <v>401</v>
      </c>
      <c r="C113" s="329" t="s">
        <v>247</v>
      </c>
    </row>
    <row r="114" spans="1:3" hidden="1" x14ac:dyDescent="0.3">
      <c r="A114" s="326" t="s">
        <v>381</v>
      </c>
      <c r="B114" s="326" t="s">
        <v>402</v>
      </c>
      <c r="C114" s="328" t="s">
        <v>247</v>
      </c>
    </row>
    <row r="115" spans="1:3" hidden="1" x14ac:dyDescent="0.3">
      <c r="A115" s="327" t="s">
        <v>382</v>
      </c>
      <c r="B115" s="327" t="s">
        <v>403</v>
      </c>
      <c r="C115" s="329" t="s">
        <v>247</v>
      </c>
    </row>
    <row r="116" spans="1:3" hidden="1" x14ac:dyDescent="0.3">
      <c r="A116" s="326" t="s">
        <v>383</v>
      </c>
      <c r="B116" s="326" t="s">
        <v>404</v>
      </c>
      <c r="C116" s="328" t="s">
        <v>247</v>
      </c>
    </row>
    <row r="117" spans="1:3" hidden="1" x14ac:dyDescent="0.3">
      <c r="A117" s="327" t="s">
        <v>384</v>
      </c>
      <c r="B117" s="327" t="s">
        <v>405</v>
      </c>
      <c r="C117" s="329" t="s">
        <v>247</v>
      </c>
    </row>
    <row r="118" spans="1:3" hidden="1" x14ac:dyDescent="0.3">
      <c r="A118" s="326" t="s">
        <v>385</v>
      </c>
      <c r="B118" s="326" t="s">
        <v>406</v>
      </c>
      <c r="C118" s="328" t="s">
        <v>247</v>
      </c>
    </row>
    <row r="119" spans="1:3" hidden="1" x14ac:dyDescent="0.3">
      <c r="A119" s="327" t="s">
        <v>386</v>
      </c>
      <c r="B119" s="327" t="s">
        <v>407</v>
      </c>
      <c r="C119" s="329" t="s">
        <v>247</v>
      </c>
    </row>
    <row r="120" spans="1:3" hidden="1" x14ac:dyDescent="0.3">
      <c r="A120" s="326" t="s">
        <v>387</v>
      </c>
      <c r="B120" s="326" t="s">
        <v>408</v>
      </c>
      <c r="C120" s="328" t="s">
        <v>247</v>
      </c>
    </row>
    <row r="121" spans="1:3" hidden="1" x14ac:dyDescent="0.3">
      <c r="A121" s="327" t="s">
        <v>388</v>
      </c>
      <c r="B121" s="327" t="s">
        <v>409</v>
      </c>
      <c r="C121" s="329" t="s">
        <v>247</v>
      </c>
    </row>
    <row r="122" spans="1:3" hidden="1" x14ac:dyDescent="0.3">
      <c r="A122" s="326" t="s">
        <v>389</v>
      </c>
      <c r="B122" s="326" t="s">
        <v>410</v>
      </c>
      <c r="C122" s="328" t="s">
        <v>247</v>
      </c>
    </row>
    <row r="123" spans="1:3" hidden="1" x14ac:dyDescent="0.3">
      <c r="A123" s="327" t="s">
        <v>390</v>
      </c>
      <c r="B123" s="327" t="s">
        <v>411</v>
      </c>
      <c r="C123" s="329" t="s">
        <v>247</v>
      </c>
    </row>
    <row r="124" spans="1:3" hidden="1" x14ac:dyDescent="0.3">
      <c r="A124" s="326" t="s">
        <v>391</v>
      </c>
      <c r="B124" s="326" t="s">
        <v>412</v>
      </c>
      <c r="C124" s="328" t="s">
        <v>247</v>
      </c>
    </row>
    <row r="125" spans="1:3" hidden="1" x14ac:dyDescent="0.3">
      <c r="A125" s="327" t="s">
        <v>392</v>
      </c>
      <c r="B125" s="327" t="s">
        <v>413</v>
      </c>
      <c r="C125" s="329" t="s">
        <v>247</v>
      </c>
    </row>
    <row r="126" spans="1:3" hidden="1" x14ac:dyDescent="0.3">
      <c r="A126" s="326" t="s">
        <v>393</v>
      </c>
      <c r="B126" s="326" t="s">
        <v>414</v>
      </c>
      <c r="C126" s="328" t="s">
        <v>247</v>
      </c>
    </row>
    <row r="127" spans="1:3" hidden="1" x14ac:dyDescent="0.3">
      <c r="A127" s="327" t="s">
        <v>415</v>
      </c>
      <c r="B127" s="327" t="s">
        <v>423</v>
      </c>
      <c r="C127" s="327" t="s">
        <v>247</v>
      </c>
    </row>
    <row r="128" spans="1:3" hidden="1" x14ac:dyDescent="0.3">
      <c r="A128" s="326" t="s">
        <v>416</v>
      </c>
      <c r="B128" s="326" t="s">
        <v>424</v>
      </c>
      <c r="C128" s="326" t="s">
        <v>247</v>
      </c>
    </row>
    <row r="129" spans="1:3" hidden="1" x14ac:dyDescent="0.3">
      <c r="A129" s="327" t="s">
        <v>417</v>
      </c>
      <c r="B129" s="327" t="s">
        <v>425</v>
      </c>
      <c r="C129" s="327" t="s">
        <v>247</v>
      </c>
    </row>
    <row r="130" spans="1:3" hidden="1" x14ac:dyDescent="0.3">
      <c r="A130" s="326" t="s">
        <v>418</v>
      </c>
      <c r="B130" s="326" t="s">
        <v>426</v>
      </c>
      <c r="C130" s="326" t="s">
        <v>247</v>
      </c>
    </row>
    <row r="131" spans="1:3" hidden="1" x14ac:dyDescent="0.3">
      <c r="A131" s="327" t="s">
        <v>419</v>
      </c>
      <c r="B131" s="327" t="s">
        <v>427</v>
      </c>
      <c r="C131" s="327" t="s">
        <v>247</v>
      </c>
    </row>
    <row r="132" spans="1:3" hidden="1" x14ac:dyDescent="0.3">
      <c r="A132" s="326" t="s">
        <v>420</v>
      </c>
      <c r="B132" s="326" t="s">
        <v>428</v>
      </c>
      <c r="C132" s="326" t="s">
        <v>247</v>
      </c>
    </row>
    <row r="133" spans="1:3" hidden="1" x14ac:dyDescent="0.3">
      <c r="A133" s="327" t="s">
        <v>421</v>
      </c>
      <c r="B133" s="327" t="s">
        <v>429</v>
      </c>
      <c r="C133" s="327" t="s">
        <v>247</v>
      </c>
    </row>
    <row r="134" spans="1:3" hidden="1" x14ac:dyDescent="0.3">
      <c r="A134" s="326" t="s">
        <v>422</v>
      </c>
      <c r="B134" s="326" t="s">
        <v>430</v>
      </c>
      <c r="C134" s="326" t="s">
        <v>247</v>
      </c>
    </row>
    <row r="135" spans="1:3" ht="27.6" hidden="1" x14ac:dyDescent="0.3">
      <c r="A135" s="337" t="s">
        <v>373</v>
      </c>
      <c r="B135" s="343" t="s">
        <v>394</v>
      </c>
      <c r="C135" s="339" t="s">
        <v>247</v>
      </c>
    </row>
    <row r="136" spans="1:3" ht="27.6" hidden="1" x14ac:dyDescent="0.3">
      <c r="A136" s="327" t="s">
        <v>374</v>
      </c>
      <c r="B136" s="334" t="s">
        <v>395</v>
      </c>
      <c r="C136" s="329" t="s">
        <v>247</v>
      </c>
    </row>
    <row r="137" spans="1:3" ht="27.6" hidden="1" x14ac:dyDescent="0.3">
      <c r="A137" s="326" t="s">
        <v>375</v>
      </c>
      <c r="B137" s="335" t="s">
        <v>396</v>
      </c>
      <c r="C137" s="328" t="s">
        <v>247</v>
      </c>
    </row>
    <row r="138" spans="1:3" ht="27.6" hidden="1" x14ac:dyDescent="0.3">
      <c r="A138" s="327" t="s">
        <v>376</v>
      </c>
      <c r="B138" s="334" t="s">
        <v>397</v>
      </c>
      <c r="C138" s="329" t="s">
        <v>247</v>
      </c>
    </row>
    <row r="139" spans="1:3" ht="27.6" hidden="1" x14ac:dyDescent="0.3">
      <c r="A139" s="326" t="s">
        <v>377</v>
      </c>
      <c r="B139" s="335" t="s">
        <v>398</v>
      </c>
      <c r="C139" s="328" t="s">
        <v>247</v>
      </c>
    </row>
    <row r="140" spans="1:3" ht="27.6" hidden="1" x14ac:dyDescent="0.3">
      <c r="A140" s="327" t="s">
        <v>378</v>
      </c>
      <c r="B140" s="334" t="s">
        <v>399</v>
      </c>
      <c r="C140" s="329" t="s">
        <v>247</v>
      </c>
    </row>
    <row r="141" spans="1:3" ht="27.6" hidden="1" x14ac:dyDescent="0.3">
      <c r="A141" s="326" t="s">
        <v>379</v>
      </c>
      <c r="B141" s="335" t="s">
        <v>400</v>
      </c>
      <c r="C141" s="328" t="s">
        <v>247</v>
      </c>
    </row>
    <row r="142" spans="1:3" ht="27.6" hidden="1" x14ac:dyDescent="0.3">
      <c r="A142" s="327" t="s">
        <v>386</v>
      </c>
      <c r="B142" s="334" t="s">
        <v>407</v>
      </c>
      <c r="C142" s="329" t="s">
        <v>247</v>
      </c>
    </row>
    <row r="143" spans="1:3" ht="27.6" hidden="1" x14ac:dyDescent="0.3">
      <c r="A143" s="326" t="s">
        <v>387</v>
      </c>
      <c r="B143" s="335" t="s">
        <v>408</v>
      </c>
      <c r="C143" s="328" t="s">
        <v>247</v>
      </c>
    </row>
    <row r="144" spans="1:3" ht="27.6" hidden="1" x14ac:dyDescent="0.3">
      <c r="A144" s="327" t="s">
        <v>388</v>
      </c>
      <c r="B144" s="334" t="s">
        <v>409</v>
      </c>
      <c r="C144" s="329" t="s">
        <v>247</v>
      </c>
    </row>
    <row r="145" spans="1:3" hidden="1" x14ac:dyDescent="0.3">
      <c r="A145" s="327" t="s">
        <v>415</v>
      </c>
      <c r="B145" s="327" t="s">
        <v>423</v>
      </c>
      <c r="C145" s="327" t="s">
        <v>247</v>
      </c>
    </row>
    <row r="146" spans="1:3" hidden="1" x14ac:dyDescent="0.3">
      <c r="A146" s="326" t="s">
        <v>416</v>
      </c>
      <c r="B146" s="326" t="s">
        <v>424</v>
      </c>
      <c r="C146" s="326" t="s">
        <v>247</v>
      </c>
    </row>
    <row r="147" spans="1:3" hidden="1" x14ac:dyDescent="0.3">
      <c r="A147" s="327" t="s">
        <v>417</v>
      </c>
      <c r="B147" s="327" t="s">
        <v>425</v>
      </c>
      <c r="C147" s="327" t="s">
        <v>247</v>
      </c>
    </row>
    <row r="148" spans="1:3" hidden="1" x14ac:dyDescent="0.3">
      <c r="A148" s="326" t="s">
        <v>418</v>
      </c>
      <c r="B148" s="326" t="s">
        <v>426</v>
      </c>
      <c r="C148" s="326" t="s">
        <v>247</v>
      </c>
    </row>
    <row r="149" spans="1:3" hidden="1" x14ac:dyDescent="0.3">
      <c r="A149" s="327" t="s">
        <v>419</v>
      </c>
      <c r="B149" s="327" t="s">
        <v>427</v>
      </c>
      <c r="C149" s="327" t="s">
        <v>247</v>
      </c>
    </row>
    <row r="150" spans="1:3" hidden="1" x14ac:dyDescent="0.3">
      <c r="A150" s="326" t="s">
        <v>420</v>
      </c>
      <c r="B150" s="326" t="s">
        <v>428</v>
      </c>
      <c r="C150" s="326" t="s">
        <v>247</v>
      </c>
    </row>
  </sheetData>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7"/>
  <sheetViews>
    <sheetView zoomScaleNormal="100" workbookViewId="0">
      <selection activeCell="N19" sqref="N19"/>
    </sheetView>
  </sheetViews>
  <sheetFormatPr defaultColWidth="9.109375" defaultRowHeight="13.2" x14ac:dyDescent="0.25"/>
  <cols>
    <col min="1" max="1" width="14.109375" style="6" customWidth="1"/>
    <col min="2" max="2" width="1.6640625" style="6" customWidth="1"/>
    <col min="3" max="3" width="30.109375" style="6" customWidth="1"/>
    <col min="4" max="4" width="1.77734375"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tr">
        <f>'SCH A'!A2</f>
        <v xml:space="preserve"> (Fill out this form regardless of the project being qualified for incentives or not)</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'SCH A'!C5</f>
        <v>0</v>
      </c>
      <c r="D5" s="41"/>
      <c r="E5" s="12"/>
      <c r="F5" s="12"/>
      <c r="G5" s="13"/>
      <c r="H5" s="14"/>
      <c r="I5" s="14" t="s">
        <v>4</v>
      </c>
      <c r="J5" s="15">
        <f ca="1" xml:space="preserve"> TODAY()</f>
        <v>44474</v>
      </c>
    </row>
    <row r="6" spans="1:10" ht="6" customHeight="1" x14ac:dyDescent="0.25">
      <c r="A6" s="11"/>
      <c r="B6" s="11"/>
      <c r="C6" s="362"/>
      <c r="D6" s="362"/>
      <c r="E6" s="12"/>
      <c r="F6" s="12"/>
      <c r="G6" s="13"/>
      <c r="H6" s="14"/>
      <c r="I6" s="14"/>
      <c r="J6" s="15"/>
    </row>
    <row r="7" spans="1:10" x14ac:dyDescent="0.25">
      <c r="A7" s="11" t="s">
        <v>3</v>
      </c>
      <c r="B7" s="11"/>
      <c r="C7" s="383">
        <f>'SCH A'!C7:G7</f>
        <v>0</v>
      </c>
      <c r="D7" s="383"/>
      <c r="E7" s="383"/>
      <c r="F7" s="383"/>
      <c r="G7" s="383"/>
      <c r="H7" s="253"/>
      <c r="I7" s="253" t="s">
        <v>140</v>
      </c>
      <c r="J7" s="1" t="s">
        <v>168</v>
      </c>
    </row>
    <row r="8" spans="1:10" ht="6" customHeight="1" x14ac:dyDescent="0.25">
      <c r="A8" s="11"/>
      <c r="B8" s="11"/>
      <c r="C8" s="362"/>
      <c r="D8" s="362"/>
      <c r="E8" s="362"/>
      <c r="F8" s="362"/>
      <c r="G8" s="362"/>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6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7" thickBot="1" x14ac:dyDescent="0.3">
      <c r="A14" s="325" t="s">
        <v>185</v>
      </c>
      <c r="B14" s="19"/>
      <c r="C14" s="19" t="s">
        <v>167</v>
      </c>
      <c r="D14" s="20"/>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4"/>
      <c r="E15" s="358"/>
      <c r="F15" s="25"/>
      <c r="G15" s="359"/>
      <c r="H15" s="26" t="str">
        <f>IFERROR(VLOOKUP(C15,inputSchC!$A$2:$F$105,6,FALSE),"")</f>
        <v/>
      </c>
      <c r="I15" s="361" t="str">
        <f>IFERROR(H15/G15,"")</f>
        <v/>
      </c>
      <c r="J15" s="26" t="str">
        <f>IF(AND(ISNUMBER(E15),ISNUMBER(H15)),E15*H15,"-")</f>
        <v>-</v>
      </c>
    </row>
    <row r="16" spans="1:10" ht="6" customHeight="1" x14ac:dyDescent="0.25">
      <c r="A16" s="352"/>
      <c r="B16" s="299"/>
      <c r="C16" s="348"/>
      <c r="D16" s="24"/>
      <c r="E16" s="330"/>
      <c r="F16" s="25"/>
      <c r="G16" s="27"/>
      <c r="H16" s="26"/>
      <c r="I16" s="361"/>
      <c r="J16" s="26"/>
    </row>
    <row r="17" spans="1:13" ht="13.8" x14ac:dyDescent="0.3">
      <c r="A17" s="300"/>
      <c r="B17" s="299"/>
      <c r="C17" s="347"/>
      <c r="D17" s="24"/>
      <c r="E17" s="358"/>
      <c r="F17" s="25"/>
      <c r="G17" s="359"/>
      <c r="H17" s="26" t="str">
        <f>IFERROR(VLOOKUP(C17,inputSchC!$A$2:$F$105,6,FALSE),"")</f>
        <v/>
      </c>
      <c r="I17" s="361" t="str">
        <f>IFERROR(H17/G17,"")</f>
        <v/>
      </c>
      <c r="J17" s="26" t="str">
        <f>IF(AND(ISNUMBER(E17),ISNUMBER(H17)),E17*H17,"-")</f>
        <v>-</v>
      </c>
    </row>
    <row r="18" spans="1:13" ht="6" customHeight="1" x14ac:dyDescent="0.25">
      <c r="A18" s="352"/>
      <c r="B18" s="299"/>
      <c r="C18" s="348"/>
      <c r="D18" s="24"/>
      <c r="E18" s="331"/>
      <c r="F18" s="25"/>
      <c r="G18" s="26"/>
      <c r="H18" s="26"/>
      <c r="I18" s="361"/>
      <c r="J18" s="26"/>
    </row>
    <row r="19" spans="1:13" ht="13.8" x14ac:dyDescent="0.3">
      <c r="A19" s="300"/>
      <c r="B19" s="299"/>
      <c r="C19" s="347"/>
      <c r="D19" s="24"/>
      <c r="E19" s="358"/>
      <c r="F19" s="25"/>
      <c r="G19" s="359"/>
      <c r="H19" s="26" t="str">
        <f>IFERROR(VLOOKUP(C19,inputSchC!$A$2:$F$105,6,FALSE),"")</f>
        <v/>
      </c>
      <c r="I19" s="361" t="str">
        <f>IFERROR(H19/G19,"")</f>
        <v/>
      </c>
      <c r="J19" s="26" t="str">
        <f>IF(AND(ISNUMBER(E19),ISNUMBER(H19)),E19*H19,"-")</f>
        <v>-</v>
      </c>
    </row>
    <row r="20" spans="1:13" ht="6" customHeight="1" x14ac:dyDescent="0.25">
      <c r="A20" s="352"/>
      <c r="B20" s="299"/>
      <c r="C20" s="348"/>
      <c r="D20" s="24"/>
      <c r="E20" s="331"/>
      <c r="F20" s="25"/>
      <c r="G20" s="26"/>
      <c r="H20" s="26"/>
      <c r="I20" s="361"/>
      <c r="J20" s="26"/>
    </row>
    <row r="21" spans="1:13" ht="13.8" x14ac:dyDescent="0.3">
      <c r="A21" s="300"/>
      <c r="B21" s="299"/>
      <c r="C21" s="347"/>
      <c r="D21" s="24"/>
      <c r="E21" s="358"/>
      <c r="F21" s="25"/>
      <c r="G21" s="359"/>
      <c r="H21" s="26" t="str">
        <f>IFERROR(VLOOKUP(C21,inputSchC!$A$2:$F$105,6,FALSE),"")</f>
        <v/>
      </c>
      <c r="I21" s="361" t="str">
        <f>IFERROR(H21/G21,"")</f>
        <v/>
      </c>
      <c r="J21" s="26" t="str">
        <f>IF(AND(ISNUMBER(E21),ISNUMBER(H21)),E21*H21,"-")</f>
        <v>-</v>
      </c>
    </row>
    <row r="22" spans="1:13" ht="6" customHeight="1" x14ac:dyDescent="0.25">
      <c r="A22" s="352"/>
      <c r="B22" s="299"/>
      <c r="C22" s="348"/>
      <c r="D22" s="24"/>
      <c r="E22" s="331"/>
      <c r="F22" s="25"/>
      <c r="G22" s="26"/>
      <c r="H22" s="26"/>
      <c r="I22" s="361"/>
      <c r="J22" s="26"/>
    </row>
    <row r="23" spans="1:13" ht="13.8" x14ac:dyDescent="0.3">
      <c r="A23" s="300"/>
      <c r="B23" s="299"/>
      <c r="C23" s="347"/>
      <c r="D23" s="24"/>
      <c r="E23" s="358"/>
      <c r="F23" s="25"/>
      <c r="G23" s="359"/>
      <c r="H23" s="26" t="str">
        <f>IFERROR(VLOOKUP(C23,inputSchC!$A$2:$F$105,6,FALSE),"")</f>
        <v/>
      </c>
      <c r="I23" s="361" t="str">
        <f>IFERROR(H23/G23,"")</f>
        <v/>
      </c>
      <c r="J23" s="26" t="str">
        <f>IF(AND(ISNUMBER(E23),ISNUMBER(H23)),E23*H23,"-")</f>
        <v>-</v>
      </c>
    </row>
    <row r="24" spans="1:13" ht="6" customHeight="1" x14ac:dyDescent="0.25">
      <c r="A24" s="352"/>
      <c r="B24" s="299"/>
      <c r="C24" s="348"/>
      <c r="D24" s="24"/>
      <c r="E24" s="331"/>
      <c r="F24" s="25"/>
      <c r="G24" s="26"/>
      <c r="H24" s="26"/>
      <c r="I24" s="361"/>
      <c r="J24" s="26"/>
    </row>
    <row r="25" spans="1:13" ht="13.8" x14ac:dyDescent="0.3">
      <c r="A25" s="300"/>
      <c r="B25" s="299"/>
      <c r="C25" s="347"/>
      <c r="D25" s="24"/>
      <c r="E25" s="358"/>
      <c r="F25" s="25"/>
      <c r="G25" s="359"/>
      <c r="H25" s="26" t="str">
        <f>IFERROR(VLOOKUP(C25,inputSchC!$A$2:$F$105,6,FALSE),"")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4"/>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4"/>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4"/>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63"/>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63"/>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1.4" x14ac:dyDescent="0.25">
      <c r="A68" s="317" t="s">
        <v>432</v>
      </c>
      <c r="B68" s="318"/>
      <c r="C68" s="319"/>
      <c r="D68" s="318"/>
      <c r="E68" s="320"/>
      <c r="F68" s="320"/>
      <c r="G68" s="321"/>
      <c r="H68" s="321"/>
      <c r="I68" s="321"/>
      <c r="J68" s="322"/>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362">
        <f>+C5</f>
        <v>0</v>
      </c>
      <c r="D72" s="362"/>
      <c r="E72" s="12"/>
      <c r="F72" s="12"/>
      <c r="G72" s="13"/>
      <c r="H72" s="14"/>
      <c r="I72" s="14" t="s">
        <v>4</v>
      </c>
      <c r="J72" s="15">
        <f ca="1" xml:space="preserve"> TODAY()</f>
        <v>44474</v>
      </c>
    </row>
    <row r="73" spans="1:10" ht="4.5" customHeight="1" x14ac:dyDescent="0.25">
      <c r="A73" s="11"/>
      <c r="B73" s="11"/>
      <c r="C73" s="362"/>
      <c r="D73" s="362"/>
      <c r="E73" s="12"/>
      <c r="F73" s="12"/>
      <c r="G73" s="13"/>
      <c r="H73" s="14"/>
      <c r="I73" s="14"/>
      <c r="J73" s="15"/>
    </row>
    <row r="74" spans="1:10" x14ac:dyDescent="0.25">
      <c r="A74" s="11" t="s">
        <v>3</v>
      </c>
      <c r="B74" s="11"/>
      <c r="C74" s="389">
        <f>+C7</f>
        <v>0</v>
      </c>
      <c r="D74" s="389"/>
      <c r="E74" s="389"/>
      <c r="F74" s="389"/>
      <c r="G74" s="389"/>
      <c r="H74" s="14"/>
      <c r="I74" s="14" t="str">
        <f>+I7</f>
        <v xml:space="preserve">Schedule: </v>
      </c>
      <c r="J74" s="17" t="str">
        <f>+J7</f>
        <v>C</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362">
        <f>+C5</f>
        <v>0</v>
      </c>
      <c r="D136" s="362"/>
      <c r="E136" s="12"/>
      <c r="F136" s="12"/>
      <c r="G136" s="13"/>
      <c r="H136" s="14"/>
      <c r="I136" s="14" t="s">
        <v>4</v>
      </c>
      <c r="J136" s="15">
        <f ca="1" xml:space="preserve"> TODAY()</f>
        <v>44474</v>
      </c>
    </row>
    <row r="137" spans="1:10" ht="3.75" customHeight="1" x14ac:dyDescent="0.25">
      <c r="A137" s="11"/>
      <c r="B137" s="11"/>
      <c r="C137" s="362"/>
      <c r="D137" s="362"/>
      <c r="E137" s="12"/>
      <c r="F137" s="12"/>
      <c r="G137" s="13"/>
      <c r="H137" s="14"/>
      <c r="I137" s="14"/>
      <c r="J137" s="15"/>
    </row>
    <row r="138" spans="1:10" x14ac:dyDescent="0.25">
      <c r="A138" s="11" t="s">
        <v>3</v>
      </c>
      <c r="B138" s="11"/>
      <c r="C138" s="389">
        <f>+C7</f>
        <v>0</v>
      </c>
      <c r="D138" s="389"/>
      <c r="E138" s="389"/>
      <c r="F138" s="389"/>
      <c r="G138" s="389"/>
      <c r="H138" s="14"/>
      <c r="I138" s="14" t="str">
        <f>+I7</f>
        <v xml:space="preserve">Schedule: </v>
      </c>
      <c r="J138" s="17" t="str">
        <f>+J7</f>
        <v>C</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7">
    <mergeCell ref="A143:C143"/>
    <mergeCell ref="A145:C145"/>
    <mergeCell ref="D148:D149"/>
    <mergeCell ref="D121:D122"/>
    <mergeCell ref="A123:C123"/>
    <mergeCell ref="D124:D125"/>
    <mergeCell ref="D127:D129"/>
    <mergeCell ref="A133:J133"/>
    <mergeCell ref="C138:G138"/>
    <mergeCell ref="D117:D119"/>
    <mergeCell ref="A41:J41"/>
    <mergeCell ref="A42:J42"/>
    <mergeCell ref="A51:H51"/>
    <mergeCell ref="A69:J69"/>
    <mergeCell ref="C74:G74"/>
    <mergeCell ref="D80:D89"/>
    <mergeCell ref="D91:D99"/>
    <mergeCell ref="D101:D102"/>
    <mergeCell ref="D104:D108"/>
    <mergeCell ref="D110:D112"/>
    <mergeCell ref="D114:D115"/>
    <mergeCell ref="A38:H38"/>
    <mergeCell ref="A1:J1"/>
    <mergeCell ref="C7:G7"/>
    <mergeCell ref="A12:J12"/>
    <mergeCell ref="A27:J27"/>
    <mergeCell ref="A28:J28"/>
  </mergeCells>
  <conditionalFormatting sqref="H15 H17 H19 H21 H23 H25">
    <cfRule type="expression" dxfId="3" priority="1">
      <formula>AND($H15=0,$E15&gt;0)=TRUE</formula>
    </cfRule>
  </conditionalFormatting>
  <dataValidations count="15">
    <dataValidation type="list" allowBlank="1" showInputMessage="1" showErrorMessage="1" promptTitle="Select Schedule Type " prompt="Select Schedule or Option " sqref="H7:I7" xr:uid="{00000000-0002-0000-0500-000000000000}">
      <formula1>", Schedule: , Option: "</formula1>
    </dataValidation>
    <dataValidation allowBlank="1" showInputMessage="1" showErrorMessage="1" promptTitle="Enter project name" prompt="Example:  Pinto Basin Road" sqref="C7:G7" xr:uid="{00000000-0002-0000-0500-000001000000}"/>
    <dataValidation allowBlank="1" showInputMessage="1" showErrorMessage="1" promptTitle="Enter project number" prompt="Example:  CA FTNP JOTR 11(5)" sqref="C5:D5" xr:uid="{00000000-0002-0000-0500-000002000000}"/>
    <dataValidation type="list" allowBlank="1" showErrorMessage="1" error="Please use the drop-down menu to select the FP version" promptTitle="Select FP Version" prompt="Select FP-03 or FP-14" sqref="E3" xr:uid="{00000000-0002-0000-0500-000003000000}">
      <formula1>" , FP-03, FP-14"</formula1>
    </dataValidation>
    <dataValidation type="list" allowBlank="1" showErrorMessage="1" error="Please use the drop-down menu to select the project units" promptTitle="Select Units" prompt="Select Metric or US Customary" sqref="J9" xr:uid="{00000000-0002-0000-0500-000004000000}">
      <formula1>"METRIC, US CUSTOMARY"</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500-000005000000}">
      <formula1>"  , A, B, C, D, E, F, G, W, X, Y, Z"</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500-000006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500-000007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500-000008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500-000009000000}">
      <formula1>0</formula1>
    </dataValidation>
    <dataValidation type="whole" operator="greaterThanOrEqual" allowBlank="1" showInputMessage="1" showErrorMessage="1" error="Bid decimals set to zero._x000a__x000a_Contact Heidi Hirsbrunner (X3622)_x000a_                   _x000a_to modify Incentive Spreadsheet." sqref="E80:E89 E104:E108" xr:uid="{00000000-0002-0000-0500-00000A000000}">
      <formula1>0</formula1>
    </dataValidation>
    <dataValidation allowBlank="1" showErrorMessage="1" sqref="C83" xr:uid="{00000000-0002-0000-0500-00000B000000}"/>
    <dataValidation allowBlank="1" sqref="C72:D72 C136:D136" xr:uid="{00000000-0002-0000-0500-00000C000000}"/>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500-00000D000000}">
      <formula1>0</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N26 H15 H17 H19 H21 H23 H25" xr:uid="{00000000-0002-0000-0500-00000E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F000000}">
          <x14:formula1>
            <xm:f>inputSchC!$A$2:$A$105</xm:f>
          </x14:formula1>
          <xm:sqref>C15 C17 C19 C21 C23 C25</xm:sqref>
        </x14:dataValidation>
        <x14:dataValidation type="list" allowBlank="1" showInputMessage="1" showErrorMessage="1" xr:uid="{00000000-0002-0000-0500-000010000000}">
          <x14:formula1>
            <xm:f>inputSchC!$A$134:$A$150</xm:f>
          </x14:formula1>
          <xm:sqref>A45 A47 A49</xm:sqref>
        </x14:dataValidation>
        <x14:dataValidation type="list" allowBlank="1" showInputMessage="1" showErrorMessage="1" xr:uid="{00000000-0002-0000-0500-000011000000}">
          <x14:formula1>
            <xm:f>inputSchC!$A$106:$A$134</xm:f>
          </x14:formula1>
          <xm:sqref>C31 C33 C35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0"/>
  <sheetViews>
    <sheetView workbookViewId="0">
      <pane xSplit="3" ySplit="1" topLeftCell="D83" activePane="bottomRight" state="frozen"/>
      <selection activeCell="F3" sqref="F3"/>
      <selection pane="topRight" activeCell="F3" sqref="F3"/>
      <selection pane="bottomLeft" activeCell="F3" sqref="F3"/>
      <selection pane="bottomRight" activeCell="F104" sqref="F104"/>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C'!$C$15:$E$25,3,FALSE),"")</f>
        <v/>
      </c>
      <c r="E2" s="360" t="str">
        <f>IFERROR(VLOOKUP($A2,'SCH C'!$C$15:$G$25,5,FALSE),"")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C'!$C$15:$E$25,3,FALSE),"")</f>
        <v/>
      </c>
      <c r="E3" s="360" t="str">
        <f>IFERROR(VLOOKUP($A3,'SCH C'!$C$15:$G$25,5,FALSE),"")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C'!$C$15:$E$25,3,FALSE),"")</f>
        <v/>
      </c>
      <c r="E4" s="360" t="str">
        <f>IFERROR(VLOOKUP($A4,'SCH C'!$C$15:$G$25,5,FALSE),"")</f>
        <v/>
      </c>
      <c r="F4" s="26" t="e">
        <f t="shared" si="0"/>
        <v>#VALUE!</v>
      </c>
    </row>
    <row r="5" spans="1:6" x14ac:dyDescent="0.3">
      <c r="A5" s="327" t="s">
        <v>192</v>
      </c>
      <c r="B5" s="327" t="s">
        <v>250</v>
      </c>
      <c r="C5" s="329" t="s">
        <v>247</v>
      </c>
      <c r="D5" s="345" t="str">
        <f>IFERROR(VLOOKUP($A5,'SCH C'!$C$15:$E$25,3,FALSE),"")</f>
        <v/>
      </c>
      <c r="E5" s="360" t="str">
        <f>IFERROR(VLOOKUP($A5,'SCH C'!$C$15:$G$25,5,FALSE),"")</f>
        <v/>
      </c>
      <c r="F5" s="26" t="e">
        <f t="shared" si="0"/>
        <v>#VALUE!</v>
      </c>
    </row>
    <row r="6" spans="1:6" x14ac:dyDescent="0.3">
      <c r="A6" s="326" t="s">
        <v>193</v>
      </c>
      <c r="B6" s="326" t="s">
        <v>251</v>
      </c>
      <c r="C6" s="328" t="s">
        <v>247</v>
      </c>
      <c r="D6" s="345" t="str">
        <f>IFERROR(VLOOKUP($A6,'SCH C'!$C$15:$E$25,3,FALSE),"")</f>
        <v/>
      </c>
      <c r="E6" s="360" t="str">
        <f>IFERROR(VLOOKUP($A6,'SCH C'!$C$15:$G$25,5,FALSE),"")</f>
        <v/>
      </c>
      <c r="F6" s="26" t="e">
        <f t="shared" si="0"/>
        <v>#VALUE!</v>
      </c>
    </row>
    <row r="7" spans="1:6" x14ac:dyDescent="0.3">
      <c r="A7" s="327" t="s">
        <v>194</v>
      </c>
      <c r="B7" s="327" t="s">
        <v>246</v>
      </c>
      <c r="C7" s="329" t="s">
        <v>46</v>
      </c>
      <c r="D7" s="345" t="str">
        <f>IFERROR(VLOOKUP($A7,'SCH C'!$C$15:$E$25,3,FALSE),"")</f>
        <v/>
      </c>
      <c r="E7" s="360" t="str">
        <f>IFERROR(VLOOKUP($A7,'SCH C'!$C$15:$G$25,5,FALSE),"")</f>
        <v/>
      </c>
      <c r="F7" s="346"/>
    </row>
    <row r="8" spans="1:6" x14ac:dyDescent="0.3">
      <c r="A8" s="326" t="s">
        <v>195</v>
      </c>
      <c r="B8" s="326" t="s">
        <v>252</v>
      </c>
      <c r="C8" s="328" t="s">
        <v>46</v>
      </c>
      <c r="D8" s="345" t="str">
        <f>IFERROR(VLOOKUP($A8,'SCH C'!$C$15:$E$25,3,FALSE),"")</f>
        <v/>
      </c>
      <c r="E8" s="360" t="str">
        <f>IFERROR(VLOOKUP($A8,'SCH C'!$C$15:$G$25,5,FALSE),"")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C'!$C$15:$E$25,3,FALSE),"")</f>
        <v/>
      </c>
      <c r="E9" s="360" t="str">
        <f>IFERROR(VLOOKUP($A9,'SCH C'!$C$15:$G$25,5,FALSE),"")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C'!$C$15:$E$25,3,FALSE),"")</f>
        <v/>
      </c>
      <c r="E10" s="360" t="str">
        <f>IFERROR(VLOOKUP($A10,'SCH C'!$C$15:$G$25,5,FALSE),"")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C'!$C$15:$E$25,3,FALSE),"")</f>
        <v/>
      </c>
      <c r="E11" s="360" t="str">
        <f>IFERROR(VLOOKUP($A11,'SCH C'!$C$15:$G$25,5,FALSE),"")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C'!$C$15:$E$25,3,FALSE),"")</f>
        <v/>
      </c>
      <c r="E12" s="360" t="str">
        <f>IFERROR(VLOOKUP($A12,'SCH C'!$C$15:$G$25,5,FALSE),"")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C'!$C$15:$E$25,3,FALSE),"")</f>
        <v/>
      </c>
      <c r="E13" s="360" t="str">
        <f>IFERROR(VLOOKUP($A13,'SCH C'!$C$15:$G$25,5,FALSE),"")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C'!$C$15:$E$25,3,FALSE),"")</f>
        <v/>
      </c>
      <c r="E14" s="360" t="str">
        <f>IFERROR(VLOOKUP($A14,'SCH C'!$C$15:$G$25,5,FALSE),"")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C'!$C$15:$E$25,3,FALSE),"")</f>
        <v/>
      </c>
      <c r="E15" s="360" t="str">
        <f>IFERROR(VLOOKUP($A15,'SCH C'!$C$15:$G$25,5,FALSE),"")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C'!$C$15:$E$25,3,FALSE),"")</f>
        <v/>
      </c>
      <c r="E16" s="360" t="str">
        <f>IFERROR(VLOOKUP($A16,'SCH C'!$C$15:$G$25,5,FALSE),"")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C'!$C$15:$E$25,3,FALSE),"")</f>
        <v/>
      </c>
      <c r="E17" s="360" t="str">
        <f>IFERROR(VLOOKUP($A17,'SCH C'!$C$15:$G$25,5,FALSE),"")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C'!$C$15:$E$25,3,FALSE),"")</f>
        <v/>
      </c>
      <c r="E18" s="360" t="str">
        <f>IFERROR(VLOOKUP($A18,'SCH C'!$C$15:$G$25,5,FALSE),"")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C'!$C$15:$E$25,3,FALSE),"")</f>
        <v/>
      </c>
      <c r="E19" s="360" t="str">
        <f>IFERROR(VLOOKUP($A19,'SCH C'!$C$15:$G$25,5,FALSE),"")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C'!$C$15:$E$25,3,FALSE),"")</f>
        <v/>
      </c>
      <c r="E20" s="360" t="str">
        <f>IFERROR(VLOOKUP($A20,'SCH C'!$C$15:$G$25,5,FALSE),"")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C'!$C$15:$E$25,3,FALSE),"")</f>
        <v/>
      </c>
      <c r="E21" s="360" t="str">
        <f>IFERROR(VLOOKUP($A21,'SCH C'!$C$15:$G$25,5,FALSE),"")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C'!$C$15:$E$25,3,FALSE),"")</f>
        <v/>
      </c>
      <c r="E22" s="360" t="str">
        <f>IFERROR(VLOOKUP($A22,'SCH C'!$C$15:$G$25,5,FALSE),"")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C'!$C$15:$E$25,3,FALSE),"")</f>
        <v/>
      </c>
      <c r="E23" s="360" t="str">
        <f>IFERROR(VLOOKUP($A23,'SCH C'!$C$15:$G$25,5,FALSE),"")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C'!$C$15:$E$25,3,FALSE),"")</f>
        <v/>
      </c>
      <c r="E24" s="360" t="str">
        <f>IFERROR(VLOOKUP($A24,'SCH C'!$C$15:$G$25,5,FALSE),"")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C'!$C$15:$E$25,3,FALSE),"")</f>
        <v/>
      </c>
      <c r="E25" s="360" t="str">
        <f>IFERROR(VLOOKUP($A25,'SCH C'!$C$15:$G$25,5,FALSE),"")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C'!$C$15:$E$25,3,FALSE),"")</f>
        <v/>
      </c>
      <c r="E26" s="360" t="str">
        <f>IFERROR(VLOOKUP($A26,'SCH C'!$C$15:$G$25,5,FALSE),"")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C'!$C$15:$E$25,3,FALSE),"")</f>
        <v/>
      </c>
      <c r="E27" s="360" t="str">
        <f>IFERROR(VLOOKUP($A27,'SCH C'!$C$15:$G$25,5,FALSE),"")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C'!$C$15:$E$25,3,FALSE),"")</f>
        <v/>
      </c>
      <c r="E28" s="360" t="str">
        <f>IFERROR(VLOOKUP($A28,'SCH C'!$C$15:$G$25,5,FALSE),"")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C'!$C$15:$E$25,3,FALSE),"")</f>
        <v/>
      </c>
      <c r="E29" s="360" t="str">
        <f>IFERROR(VLOOKUP($A29,'SCH C'!$C$15:$G$25,5,FALSE),"")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C'!$C$15:$E$25,3,FALSE),"")</f>
        <v/>
      </c>
      <c r="E30" s="360" t="str">
        <f>IFERROR(VLOOKUP($A30,'SCH C'!$C$15:$G$25,5,FALSE),"")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C'!$C$15:$E$25,3,FALSE),"")</f>
        <v/>
      </c>
      <c r="E31" s="360" t="str">
        <f>IFERROR(VLOOKUP($A31,'SCH C'!$C$15:$G$25,5,FALSE),"")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C'!$C$15:$E$25,3,FALSE),"")</f>
        <v/>
      </c>
      <c r="E32" s="360" t="str">
        <f>IFERROR(VLOOKUP($A32,'SCH C'!$C$15:$G$25,5,FALSE),"")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C'!$C$15:$E$25,3,FALSE),"")</f>
        <v/>
      </c>
      <c r="E33" s="360" t="str">
        <f>IFERROR(VLOOKUP($A33,'SCH C'!$C$15:$G$25,5,FALSE),"")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C'!$C$15:$E$25,3,FALSE),"")</f>
        <v/>
      </c>
      <c r="E34" s="360" t="str">
        <f>IFERROR(VLOOKUP($A34,'SCH C'!$C$15:$G$25,5,FALSE),"")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C'!$C$15:$E$25,3,FALSE),"")</f>
        <v/>
      </c>
      <c r="E35" s="360" t="str">
        <f>IFERROR(VLOOKUP($A35,'SCH C'!$C$15:$G$25,5,FALSE),"")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C'!$C$15:$E$25,3,FALSE),"")</f>
        <v/>
      </c>
      <c r="E36" s="360" t="str">
        <f>IFERROR(VLOOKUP($A36,'SCH C'!$C$15:$G$25,5,FALSE),"")</f>
        <v/>
      </c>
      <c r="F36" s="26" t="e">
        <f t="shared" si="1"/>
        <v>#VALUE!</v>
      </c>
    </row>
    <row r="37" spans="1:6" x14ac:dyDescent="0.3">
      <c r="A37" s="327" t="s">
        <v>187</v>
      </c>
      <c r="B37" s="327" t="s">
        <v>251</v>
      </c>
      <c r="C37" s="329" t="s">
        <v>277</v>
      </c>
      <c r="D37" s="345" t="str">
        <f>IFERROR(VLOOKUP($A37,'SCH C'!$C$15:$E$25,3,FALSE),"")</f>
        <v/>
      </c>
      <c r="E37" s="360" t="str">
        <f>IFERROR(VLOOKUP($A37,'SCH C'!$C$15:$G$25,5,FALSE),"")</f>
        <v/>
      </c>
      <c r="F37" s="26" t="e">
        <f t="shared" si="1"/>
        <v>#VALUE!</v>
      </c>
    </row>
    <row r="38" spans="1:6" x14ac:dyDescent="0.3">
      <c r="A38" s="326" t="s">
        <v>224</v>
      </c>
      <c r="B38" s="326" t="s">
        <v>278</v>
      </c>
      <c r="C38" s="328" t="s">
        <v>247</v>
      </c>
      <c r="D38" s="345" t="str">
        <f>IFERROR(VLOOKUP($A38,'SCH C'!$C$15:$E$25,3,FALSE),"")</f>
        <v/>
      </c>
      <c r="E38" s="360" t="str">
        <f>IFERROR(VLOOKUP($A38,'SCH C'!$C$15:$G$25,5,FALSE),"")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C'!$C$15:$E$25,3,FALSE),"")</f>
        <v/>
      </c>
      <c r="E39" s="360" t="str">
        <f>IFERROR(VLOOKUP($A39,'SCH C'!$C$15:$G$25,5,FALSE),"")</f>
        <v/>
      </c>
      <c r="F39" s="26" t="e">
        <f t="shared" si="2"/>
        <v>#VALUE!</v>
      </c>
    </row>
    <row r="40" spans="1:6" x14ac:dyDescent="0.3">
      <c r="A40" s="326" t="s">
        <v>226</v>
      </c>
      <c r="B40" s="326" t="s">
        <v>280</v>
      </c>
      <c r="C40" s="328" t="s">
        <v>247</v>
      </c>
      <c r="D40" s="345" t="str">
        <f>IFERROR(VLOOKUP($A40,'SCH C'!$C$15:$E$25,3,FALSE),"")</f>
        <v/>
      </c>
      <c r="E40" s="360" t="str">
        <f>IFERROR(VLOOKUP($A40,'SCH C'!$C$15:$G$25,5,FALSE),"")</f>
        <v/>
      </c>
      <c r="F40" s="26" t="e">
        <f t="shared" si="2"/>
        <v>#VALUE!</v>
      </c>
    </row>
    <row r="41" spans="1:6" x14ac:dyDescent="0.3">
      <c r="A41" s="327" t="s">
        <v>227</v>
      </c>
      <c r="B41" s="327" t="s">
        <v>281</v>
      </c>
      <c r="C41" s="329" t="s">
        <v>46</v>
      </c>
      <c r="D41" s="345" t="str">
        <f>IFERROR(VLOOKUP($A41,'SCH C'!$C$15:$E$25,3,FALSE),"")</f>
        <v/>
      </c>
      <c r="E41" s="360" t="str">
        <f>IFERROR(VLOOKUP($A41,'SCH C'!$C$15:$G$25,5,FALSE),"")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C'!$C$15:$E$25,3,FALSE),"")</f>
        <v/>
      </c>
      <c r="E42" s="360" t="str">
        <f>IFERROR(VLOOKUP($A42,'SCH C'!$C$15:$G$25,5,FALSE),"")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C'!$C$15:$E$25,3,FALSE),"")</f>
        <v/>
      </c>
      <c r="E43" s="360" t="str">
        <f>IFERROR(VLOOKUP($A43,'SCH C'!$C$15:$G$25,5,FALSE),"")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C'!$C$15:$E$25,3,FALSE),"")</f>
        <v/>
      </c>
      <c r="E44" s="360" t="str">
        <f>IFERROR(VLOOKUP($A44,'SCH C'!$C$15:$G$25,5,FALSE),"")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C'!$C$15:$E$25,3,FALSE),"")</f>
        <v/>
      </c>
      <c r="E45" s="360" t="str">
        <f>IFERROR(VLOOKUP($A45,'SCH C'!$C$15:$G$25,5,FALSE),"")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C'!$C$15:$E$25,3,FALSE),"")</f>
        <v/>
      </c>
      <c r="E46" s="360" t="str">
        <f>IFERROR(VLOOKUP($A46,'SCH C'!$C$15:$G$25,5,FALSE),"")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C'!$C$15:$E$25,3,FALSE),"")</f>
        <v/>
      </c>
      <c r="E47" s="360" t="str">
        <f>IFERROR(VLOOKUP($A47,'SCH C'!$C$15:$G$25,5,FALSE),"")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C'!$C$15:$E$25,3,FALSE),"")</f>
        <v/>
      </c>
      <c r="E48" s="360" t="str">
        <f>IFERROR(VLOOKUP($A48,'SCH C'!$C$15:$G$25,5,FALSE),"")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C'!$C$15:$E$25,3,FALSE),"")</f>
        <v/>
      </c>
      <c r="E49" s="360" t="str">
        <f>IFERROR(VLOOKUP($A49,'SCH C'!$C$15:$G$25,5,FALSE),"")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C'!$C$15:$E$25,3,FALSE),"")</f>
        <v/>
      </c>
      <c r="E50" s="360" t="str">
        <f>IFERROR(VLOOKUP($A50,'SCH C'!$C$15:$G$25,5,FALSE),"")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C'!$C$15:$E$25,3,FALSE),"")</f>
        <v/>
      </c>
      <c r="E51" s="360" t="str">
        <f>IFERROR(VLOOKUP($A51,'SCH C'!$C$15:$G$25,5,FALSE),"")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C'!$C$15:$E$25,3,FALSE),"")</f>
        <v/>
      </c>
      <c r="E52" s="360" t="str">
        <f>IFERROR(VLOOKUP($A52,'SCH C'!$C$15:$G$25,5,FALSE),"")</f>
        <v/>
      </c>
      <c r="F52" s="26" t="e">
        <f t="shared" si="3"/>
        <v>#VALUE!</v>
      </c>
    </row>
    <row r="53" spans="1:6" x14ac:dyDescent="0.3">
      <c r="A53" s="327" t="s">
        <v>239</v>
      </c>
      <c r="B53" s="327" t="s">
        <v>280</v>
      </c>
      <c r="C53" s="329" t="s">
        <v>277</v>
      </c>
      <c r="D53" s="345" t="str">
        <f>IFERROR(VLOOKUP($A53,'SCH C'!$C$15:$E$25,3,FALSE),"")</f>
        <v/>
      </c>
      <c r="E53" s="360" t="str">
        <f>IFERROR(VLOOKUP($A53,'SCH C'!$C$15:$G$25,5,FALSE),"")</f>
        <v/>
      </c>
      <c r="F53" s="26" t="e">
        <f t="shared" si="3"/>
        <v>#VALUE!</v>
      </c>
    </row>
    <row r="54" spans="1:6" x14ac:dyDescent="0.3">
      <c r="A54" s="326" t="s">
        <v>240</v>
      </c>
      <c r="B54" s="326" t="s">
        <v>291</v>
      </c>
      <c r="C54" s="328" t="s">
        <v>247</v>
      </c>
      <c r="D54" s="345" t="str">
        <f>IFERROR(VLOOKUP($A54,'SCH C'!$C$15:$E$25,3,FALSE),"")</f>
        <v/>
      </c>
      <c r="E54" s="360" t="str">
        <f>IFERROR(VLOOKUP($A54,'SCH C'!$C$15:$G$25,5,FALSE),"")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C'!$C$15:$E$25,3,FALSE),"")</f>
        <v/>
      </c>
      <c r="E55" s="360" t="str">
        <f>IFERROR(VLOOKUP($A55,'SCH C'!$C$15:$G$25,5,FALSE),"")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C'!$C$15:$E$25,3,FALSE),"")</f>
        <v/>
      </c>
      <c r="E56" s="360" t="str">
        <f>IFERROR(VLOOKUP($A56,'SCH C'!$C$15:$G$25,5,FALSE),"")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C'!$C$15:$E$25,3,FALSE),"")</f>
        <v/>
      </c>
      <c r="E57" s="360" t="str">
        <f>IFERROR(VLOOKUP($A57,'SCH C'!$C$15:$G$25,5,FALSE),"")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C'!$C$15:$E$25,3,FALSE),"")</f>
        <v/>
      </c>
      <c r="E58" s="360" t="str">
        <f>IFERROR(VLOOKUP($A58,'SCH C'!$C$15:$G$25,5,FALSE),"")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C'!$C$15:$E$25,3,FALSE),"")</f>
        <v/>
      </c>
      <c r="E59" s="360" t="str">
        <f>IFERROR(VLOOKUP($A59,'SCH C'!$C$15:$G$25,5,FALSE),"")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C'!$C$15:$E$25,3,FALSE),"")</f>
        <v/>
      </c>
      <c r="E60" s="360" t="str">
        <f>IFERROR(VLOOKUP($A60,'SCH C'!$C$15:$G$25,5,FALSE),"")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C'!$C$15:$E$25,3,FALSE),"")</f>
        <v/>
      </c>
      <c r="E61" s="360" t="str">
        <f>IFERROR(VLOOKUP($A61,'SCH C'!$C$15:$G$25,5,FALSE),"")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C'!$C$15:$E$25,3,FALSE),"")</f>
        <v/>
      </c>
      <c r="E62" s="360" t="str">
        <f>IFERROR(VLOOKUP($A62,'SCH C'!$C$15:$G$25,5,FALSE),"")</f>
        <v/>
      </c>
      <c r="F62" s="26" t="e">
        <f t="shared" si="5"/>
        <v>#VALUE!</v>
      </c>
    </row>
    <row r="63" spans="1:6" x14ac:dyDescent="0.3">
      <c r="A63" s="327" t="s">
        <v>320</v>
      </c>
      <c r="B63" s="329" t="s">
        <v>335</v>
      </c>
      <c r="C63" s="329" t="s">
        <v>247</v>
      </c>
      <c r="D63" s="345" t="str">
        <f>IFERROR(VLOOKUP($A63,'SCH C'!$C$15:$E$25,3,FALSE),"")</f>
        <v/>
      </c>
      <c r="E63" s="360" t="str">
        <f>IFERROR(VLOOKUP($A63,'SCH C'!$C$15:$G$25,5,FALSE),"")</f>
        <v/>
      </c>
      <c r="F63" s="26" t="e">
        <f t="shared" si="5"/>
        <v>#VALUE!</v>
      </c>
    </row>
    <row r="64" spans="1:6" x14ac:dyDescent="0.3">
      <c r="A64" s="326" t="s">
        <v>321</v>
      </c>
      <c r="B64" s="328" t="s">
        <v>336</v>
      </c>
      <c r="C64" s="328" t="s">
        <v>247</v>
      </c>
      <c r="D64" s="345" t="str">
        <f>IFERROR(VLOOKUP($A64,'SCH C'!$C$15:$E$25,3,FALSE),"")</f>
        <v/>
      </c>
      <c r="E64" s="360" t="str">
        <f>IFERROR(VLOOKUP($A64,'SCH C'!$C$15:$G$25,5,FALSE),"")</f>
        <v/>
      </c>
      <c r="F64" s="26" t="e">
        <f t="shared" si="5"/>
        <v>#VALUE!</v>
      </c>
    </row>
    <row r="65" spans="1:6" x14ac:dyDescent="0.3">
      <c r="A65" s="327" t="s">
        <v>322</v>
      </c>
      <c r="B65" s="329" t="s">
        <v>337</v>
      </c>
      <c r="C65" s="329" t="s">
        <v>247</v>
      </c>
      <c r="D65" s="345" t="str">
        <f>IFERROR(VLOOKUP($A65,'SCH C'!$C$15:$E$25,3,FALSE),"")</f>
        <v/>
      </c>
      <c r="E65" s="360" t="str">
        <f>IFERROR(VLOOKUP($A65,'SCH C'!$C$15:$G$25,5,FALSE),"")</f>
        <v/>
      </c>
      <c r="F65" s="26" t="e">
        <f t="shared" si="5"/>
        <v>#VALUE!</v>
      </c>
    </row>
    <row r="66" spans="1:6" x14ac:dyDescent="0.3">
      <c r="A66" s="326" t="s">
        <v>323</v>
      </c>
      <c r="B66" s="328" t="s">
        <v>333</v>
      </c>
      <c r="C66" s="328" t="s">
        <v>46</v>
      </c>
      <c r="D66" s="345" t="str">
        <f>IFERROR(VLOOKUP($A66,'SCH C'!$C$15:$E$25,3,FALSE),"")</f>
        <v/>
      </c>
      <c r="E66" s="360" t="str">
        <f>IFERROR(VLOOKUP($A66,'SCH C'!$C$15:$G$25,5,FALSE),"")</f>
        <v/>
      </c>
      <c r="F66" s="345"/>
    </row>
    <row r="67" spans="1:6" x14ac:dyDescent="0.3">
      <c r="A67" s="327" t="s">
        <v>324</v>
      </c>
      <c r="B67" s="329" t="s">
        <v>334</v>
      </c>
      <c r="C67" s="329" t="s">
        <v>46</v>
      </c>
      <c r="D67" s="345" t="str">
        <f>IFERROR(VLOOKUP($A67,'SCH C'!$C$15:$E$25,3,FALSE),"")</f>
        <v/>
      </c>
      <c r="E67" s="360" t="str">
        <f>IFERROR(VLOOKUP($A67,'SCH C'!$C$15:$G$25,5,FALSE),"")</f>
        <v/>
      </c>
      <c r="F67" s="345"/>
    </row>
    <row r="68" spans="1:6" x14ac:dyDescent="0.3">
      <c r="A68" s="326" t="s">
        <v>325</v>
      </c>
      <c r="B68" s="328" t="s">
        <v>335</v>
      </c>
      <c r="C68" s="328" t="s">
        <v>46</v>
      </c>
      <c r="D68" s="345" t="str">
        <f>IFERROR(VLOOKUP($A68,'SCH C'!$C$15:$E$25,3,FALSE),"")</f>
        <v/>
      </c>
      <c r="E68" s="360" t="str">
        <f>IFERROR(VLOOKUP($A68,'SCH C'!$C$15:$G$25,5,FALSE),"")</f>
        <v/>
      </c>
      <c r="F68" s="345"/>
    </row>
    <row r="69" spans="1:6" x14ac:dyDescent="0.3">
      <c r="A69" s="327" t="s">
        <v>326</v>
      </c>
      <c r="B69" s="329" t="s">
        <v>336</v>
      </c>
      <c r="C69" s="329" t="s">
        <v>46</v>
      </c>
      <c r="D69" s="345" t="str">
        <f>IFERROR(VLOOKUP($A69,'SCH C'!$C$15:$E$25,3,FALSE),"")</f>
        <v/>
      </c>
      <c r="E69" s="360" t="str">
        <f>IFERROR(VLOOKUP($A69,'SCH C'!$C$15:$G$25,5,FALSE),"")</f>
        <v/>
      </c>
      <c r="F69" s="345"/>
    </row>
    <row r="70" spans="1:6" x14ac:dyDescent="0.3">
      <c r="A70" s="326" t="s">
        <v>327</v>
      </c>
      <c r="B70" s="328" t="s">
        <v>337</v>
      </c>
      <c r="C70" s="328" t="s">
        <v>46</v>
      </c>
      <c r="D70" s="345" t="str">
        <f>IFERROR(VLOOKUP($A70,'SCH C'!$C$15:$E$25,3,FALSE),"")</f>
        <v/>
      </c>
      <c r="E70" s="360" t="str">
        <f>IFERROR(VLOOKUP($A70,'SCH C'!$C$15:$G$25,5,FALSE),"")</f>
        <v/>
      </c>
      <c r="F70" s="345"/>
    </row>
    <row r="71" spans="1:6" x14ac:dyDescent="0.3">
      <c r="A71" s="327" t="s">
        <v>328</v>
      </c>
      <c r="B71" s="329" t="s">
        <v>333</v>
      </c>
      <c r="C71" s="329" t="s">
        <v>277</v>
      </c>
      <c r="D71" s="345" t="str">
        <f>IFERROR(VLOOKUP($A71,'SCH C'!$C$15:$E$25,3,FALSE),"")</f>
        <v/>
      </c>
      <c r="E71" s="360" t="str">
        <f>IFERROR(VLOOKUP($A71,'SCH C'!$C$15:$G$25,5,FALSE),"")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C'!$C$15:$E$25,3,FALSE),"")</f>
        <v/>
      </c>
      <c r="E72" s="360" t="str">
        <f>IFERROR(VLOOKUP($A72,'SCH C'!$C$15:$G$25,5,FALSE),"")</f>
        <v/>
      </c>
      <c r="F72" s="26" t="e">
        <f t="shared" si="6"/>
        <v>#VALUE!</v>
      </c>
    </row>
    <row r="73" spans="1:6" x14ac:dyDescent="0.3">
      <c r="A73" s="327" t="s">
        <v>330</v>
      </c>
      <c r="B73" s="329" t="s">
        <v>335</v>
      </c>
      <c r="C73" s="329" t="s">
        <v>277</v>
      </c>
      <c r="D73" s="345" t="str">
        <f>IFERROR(VLOOKUP($A73,'SCH C'!$C$15:$E$25,3,FALSE),"")</f>
        <v/>
      </c>
      <c r="E73" s="360" t="str">
        <f>IFERROR(VLOOKUP($A73,'SCH C'!$C$15:$G$25,5,FALSE),"")</f>
        <v/>
      </c>
      <c r="F73" s="26" t="e">
        <f t="shared" si="6"/>
        <v>#VALUE!</v>
      </c>
    </row>
    <row r="74" spans="1:6" x14ac:dyDescent="0.3">
      <c r="A74" s="326" t="s">
        <v>331</v>
      </c>
      <c r="B74" s="328" t="s">
        <v>336</v>
      </c>
      <c r="C74" s="328" t="s">
        <v>277</v>
      </c>
      <c r="D74" s="345" t="str">
        <f>IFERROR(VLOOKUP($A74,'SCH C'!$C$15:$E$25,3,FALSE),"")</f>
        <v/>
      </c>
      <c r="E74" s="360" t="str">
        <f>IFERROR(VLOOKUP($A74,'SCH C'!$C$15:$G$25,5,FALSE),"")</f>
        <v/>
      </c>
      <c r="F74" s="26" t="e">
        <f t="shared" si="6"/>
        <v>#VALUE!</v>
      </c>
    </row>
    <row r="75" spans="1:6" x14ac:dyDescent="0.3">
      <c r="A75" s="327" t="s">
        <v>332</v>
      </c>
      <c r="B75" s="329" t="s">
        <v>337</v>
      </c>
      <c r="C75" s="329" t="s">
        <v>277</v>
      </c>
      <c r="D75" s="345" t="str">
        <f>IFERROR(VLOOKUP($A75,'SCH C'!$C$15:$E$25,3,FALSE),"")</f>
        <v/>
      </c>
      <c r="E75" s="360" t="str">
        <f>IFERROR(VLOOKUP($A75,'SCH C'!$C$15:$G$25,5,FALSE),"")</f>
        <v/>
      </c>
      <c r="F75" s="26" t="e">
        <f t="shared" si="6"/>
        <v>#VALUE!</v>
      </c>
    </row>
    <row r="76" spans="1:6" x14ac:dyDescent="0.3">
      <c r="A76" s="326" t="s">
        <v>338</v>
      </c>
      <c r="B76" s="326" t="s">
        <v>350</v>
      </c>
      <c r="C76" s="326" t="s">
        <v>351</v>
      </c>
      <c r="D76" s="345" t="str">
        <f>IFERROR(VLOOKUP($A76,'SCH C'!$C$15:$E$25,3,FALSE),"")</f>
        <v/>
      </c>
      <c r="E76" s="360" t="str">
        <f>IFERROR(VLOOKUP($A76,'SCH C'!$C$15:$G$25,5,FALSE),"")</f>
        <v/>
      </c>
      <c r="F76" s="345"/>
    </row>
    <row r="77" spans="1:6" x14ac:dyDescent="0.3">
      <c r="A77" s="327" t="s">
        <v>339</v>
      </c>
      <c r="B77" s="327" t="s">
        <v>352</v>
      </c>
      <c r="C77" s="327" t="s">
        <v>351</v>
      </c>
      <c r="D77" s="345" t="str">
        <f>IFERROR(VLOOKUP($A77,'SCH C'!$C$15:$E$25,3,FALSE),"")</f>
        <v/>
      </c>
      <c r="E77" s="360" t="str">
        <f>IFERROR(VLOOKUP($A77,'SCH C'!$C$15:$G$25,5,FALSE),"")</f>
        <v/>
      </c>
      <c r="F77" s="345"/>
    </row>
    <row r="78" spans="1:6" x14ac:dyDescent="0.3">
      <c r="A78" s="326" t="s">
        <v>340</v>
      </c>
      <c r="B78" s="326" t="s">
        <v>353</v>
      </c>
      <c r="C78" s="326" t="s">
        <v>351</v>
      </c>
      <c r="D78" s="345" t="str">
        <f>IFERROR(VLOOKUP($A78,'SCH C'!$C$15:$E$25,3,FALSE),"")</f>
        <v/>
      </c>
      <c r="E78" s="360" t="str">
        <f>IFERROR(VLOOKUP($A78,'SCH C'!$C$15:$G$25,5,FALSE),"")</f>
        <v/>
      </c>
      <c r="F78" s="345"/>
    </row>
    <row r="79" spans="1:6" x14ac:dyDescent="0.3">
      <c r="A79" s="327" t="s">
        <v>341</v>
      </c>
      <c r="B79" s="327" t="s">
        <v>354</v>
      </c>
      <c r="C79" s="327" t="s">
        <v>351</v>
      </c>
      <c r="D79" s="345" t="str">
        <f>IFERROR(VLOOKUP($A79,'SCH C'!$C$15:$E$25,3,FALSE),"")</f>
        <v/>
      </c>
      <c r="E79" s="360" t="str">
        <f>IFERROR(VLOOKUP($A79,'SCH C'!$C$15:$G$25,5,FALSE),"")</f>
        <v/>
      </c>
      <c r="F79" s="345"/>
    </row>
    <row r="80" spans="1:6" x14ac:dyDescent="0.3">
      <c r="A80" s="326" t="s">
        <v>342</v>
      </c>
      <c r="B80" s="326" t="s">
        <v>350</v>
      </c>
      <c r="C80" s="326" t="s">
        <v>46</v>
      </c>
      <c r="D80" s="345" t="str">
        <f>IFERROR(VLOOKUP($A80,'SCH C'!$C$15:$E$25,3,FALSE),"")</f>
        <v/>
      </c>
      <c r="E80" s="360" t="str">
        <f>IFERROR(VLOOKUP($A80,'SCH C'!$C$15:$G$25,5,FALSE),"")</f>
        <v/>
      </c>
      <c r="F80" s="345"/>
    </row>
    <row r="81" spans="1:6" x14ac:dyDescent="0.3">
      <c r="A81" s="327" t="s">
        <v>343</v>
      </c>
      <c r="B81" s="334" t="s">
        <v>352</v>
      </c>
      <c r="C81" s="327" t="s">
        <v>46</v>
      </c>
      <c r="D81" s="345" t="str">
        <f>IFERROR(VLOOKUP($A81,'SCH C'!$C$15:$E$25,3,FALSE),"")</f>
        <v/>
      </c>
      <c r="E81" s="360" t="str">
        <f>IFERROR(VLOOKUP($A81,'SCH C'!$C$15:$G$25,5,FALSE),"")</f>
        <v/>
      </c>
      <c r="F81" s="345"/>
    </row>
    <row r="82" spans="1:6" ht="27.6" x14ac:dyDescent="0.3">
      <c r="A82" s="326" t="s">
        <v>344</v>
      </c>
      <c r="B82" s="335" t="s">
        <v>353</v>
      </c>
      <c r="C82" s="326" t="s">
        <v>46</v>
      </c>
      <c r="D82" s="345" t="str">
        <f>IFERROR(VLOOKUP($A82,'SCH C'!$C$15:$E$25,3,FALSE),"")</f>
        <v/>
      </c>
      <c r="E82" s="360" t="str">
        <f>IFERROR(VLOOKUP($A82,'SCH C'!$C$15:$G$25,5,FALSE),"")</f>
        <v/>
      </c>
      <c r="F82" s="345"/>
    </row>
    <row r="83" spans="1:6" ht="27.6" x14ac:dyDescent="0.3">
      <c r="A83" s="327" t="s">
        <v>345</v>
      </c>
      <c r="B83" s="334" t="s">
        <v>354</v>
      </c>
      <c r="C83" s="327" t="s">
        <v>46</v>
      </c>
      <c r="D83" s="345" t="str">
        <f>IFERROR(VLOOKUP($A83,'SCH C'!$C$15:$E$25,3,FALSE),"")</f>
        <v/>
      </c>
      <c r="E83" s="360" t="str">
        <f>IFERROR(VLOOKUP($A83,'SCH C'!$C$15:$G$25,5,FALSE),"")</f>
        <v/>
      </c>
      <c r="F83" s="345"/>
    </row>
    <row r="84" spans="1:6" x14ac:dyDescent="0.3">
      <c r="A84" s="326" t="s">
        <v>346</v>
      </c>
      <c r="B84" s="326" t="s">
        <v>350</v>
      </c>
      <c r="C84" s="326" t="s">
        <v>247</v>
      </c>
      <c r="D84" s="345" t="str">
        <f>IFERROR(VLOOKUP($A84,'SCH C'!$C$15:$E$25,3,FALSE),"")</f>
        <v/>
      </c>
      <c r="E84" s="360" t="str">
        <f>IFERROR(VLOOKUP($A84,'SCH C'!$C$15:$G$25,5,FALSE),"")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C'!$C$15:$E$25,3,FALSE),"")</f>
        <v/>
      </c>
      <c r="E85" s="360" t="str">
        <f>IFERROR(VLOOKUP($A85,'SCH C'!$C$15:$G$25,5,FALSE),"")</f>
        <v/>
      </c>
      <c r="F85" s="26" t="e">
        <f t="shared" si="7"/>
        <v>#VALUE!</v>
      </c>
    </row>
    <row r="86" spans="1:6" x14ac:dyDescent="0.3">
      <c r="A86" s="326" t="s">
        <v>348</v>
      </c>
      <c r="B86" s="326" t="s">
        <v>353</v>
      </c>
      <c r="C86" s="326" t="s">
        <v>247</v>
      </c>
      <c r="D86" s="345" t="str">
        <f>IFERROR(VLOOKUP($A86,'SCH C'!$C$15:$E$25,3,FALSE),"")</f>
        <v/>
      </c>
      <c r="E86" s="360" t="str">
        <f>IFERROR(VLOOKUP($A86,'SCH C'!$C$15:$G$25,5,FALSE),"")</f>
        <v/>
      </c>
      <c r="F86" s="26" t="e">
        <f t="shared" si="7"/>
        <v>#VALUE!</v>
      </c>
    </row>
    <row r="87" spans="1:6" x14ac:dyDescent="0.3">
      <c r="A87" s="327" t="s">
        <v>349</v>
      </c>
      <c r="B87" s="327" t="s">
        <v>354</v>
      </c>
      <c r="C87" s="327" t="s">
        <v>247</v>
      </c>
      <c r="D87" s="345" t="str">
        <f>IFERROR(VLOOKUP($A87,'SCH C'!$C$15:$E$25,3,FALSE),"")</f>
        <v/>
      </c>
      <c r="E87" s="360" t="str">
        <f>IFERROR(VLOOKUP($A87,'SCH C'!$C$15:$G$25,5,FALSE),"")</f>
        <v/>
      </c>
      <c r="F87" s="26" t="e">
        <f t="shared" si="7"/>
        <v>#VALUE!</v>
      </c>
    </row>
    <row r="88" spans="1:6" x14ac:dyDescent="0.3">
      <c r="A88" s="326" t="s">
        <v>355</v>
      </c>
      <c r="B88" s="326" t="s">
        <v>356</v>
      </c>
      <c r="C88" s="328" t="s">
        <v>247</v>
      </c>
      <c r="D88" s="345" t="str">
        <f>IFERROR(VLOOKUP($A88,'SCH C'!$C$15:$E$25,3,FALSE),"")</f>
        <v/>
      </c>
      <c r="E88" s="360" t="str">
        <f>IFERROR(VLOOKUP($A88,'SCH C'!$C$15:$G$25,5,FALSE),"")</f>
        <v/>
      </c>
      <c r="F88" s="345"/>
    </row>
    <row r="89" spans="1:6" x14ac:dyDescent="0.3">
      <c r="A89" s="327" t="s">
        <v>357</v>
      </c>
      <c r="B89" s="327" t="s">
        <v>304</v>
      </c>
      <c r="C89" s="327" t="s">
        <v>247</v>
      </c>
      <c r="D89" s="345" t="str">
        <f>IFERROR(VLOOKUP($A89,'SCH C'!$C$15:$E$25,3,FALSE),"")</f>
        <v/>
      </c>
      <c r="E89" s="360" t="str">
        <f>IFERROR(VLOOKUP($A89,'SCH C'!$C$15:$G$25,5,FALSE),"")</f>
        <v/>
      </c>
      <c r="F89" s="26" t="e">
        <f>IF((D89&gt;=1575),ROUND(E89*0.01,2),"-")</f>
        <v>#VALUE!</v>
      </c>
    </row>
    <row r="90" spans="1:6" x14ac:dyDescent="0.3">
      <c r="A90" s="326" t="s">
        <v>358</v>
      </c>
      <c r="B90" s="326" t="s">
        <v>305</v>
      </c>
      <c r="C90" s="326" t="s">
        <v>247</v>
      </c>
      <c r="D90" s="345" t="str">
        <f>IFERROR(VLOOKUP($A90,'SCH C'!$C$15:$E$25,3,FALSE),"")</f>
        <v/>
      </c>
      <c r="E90" s="360" t="str">
        <f>IFERROR(VLOOKUP($A90,'SCH C'!$C$15:$G$25,5,FALSE),"")</f>
        <v/>
      </c>
      <c r="F90" s="26" t="e">
        <f>IF((D90&gt;=1050),ROUND(E90*0.01,2),"-")</f>
        <v>#VALUE!</v>
      </c>
    </row>
    <row r="91" spans="1:6" x14ac:dyDescent="0.3">
      <c r="A91" s="327" t="s">
        <v>359</v>
      </c>
      <c r="B91" s="327" t="s">
        <v>306</v>
      </c>
      <c r="C91" s="327" t="s">
        <v>247</v>
      </c>
      <c r="D91" s="345" t="str">
        <f>IFERROR(VLOOKUP($A91,'SCH C'!$C$15:$E$25,3,FALSE),"")</f>
        <v/>
      </c>
      <c r="E91" s="360" t="str">
        <f>IFERROR(VLOOKUP($A91,'SCH C'!$C$15:$G$25,5,FALSE),"")</f>
        <v/>
      </c>
      <c r="F91" s="26" t="e">
        <f>IF((D91&gt;=787.5),ROUND(E91*0.01,2),"-")</f>
        <v>#VALUE!</v>
      </c>
    </row>
    <row r="92" spans="1:6" x14ac:dyDescent="0.3">
      <c r="A92" s="326" t="s">
        <v>360</v>
      </c>
      <c r="B92" s="326" t="s">
        <v>307</v>
      </c>
      <c r="C92" s="326" t="s">
        <v>247</v>
      </c>
      <c r="D92" s="345" t="str">
        <f>IFERROR(VLOOKUP($A92,'SCH C'!$C$15:$E$25,3,FALSE),"")</f>
        <v/>
      </c>
      <c r="E92" s="360" t="str">
        <f>IFERROR(VLOOKUP($A92,'SCH C'!$C$15:$G$25,5,FALSE),"")</f>
        <v/>
      </c>
      <c r="F92" s="26" t="e">
        <f>IF((D92&gt;=393.75),ROUND(E92*0.01,2),"-")</f>
        <v>#VALUE!</v>
      </c>
    </row>
    <row r="93" spans="1:6" x14ac:dyDescent="0.3">
      <c r="A93" s="327" t="s">
        <v>361</v>
      </c>
      <c r="B93" s="327" t="s">
        <v>367</v>
      </c>
      <c r="C93" s="327" t="s">
        <v>247</v>
      </c>
      <c r="D93" s="345" t="str">
        <f>IFERROR(VLOOKUP($A93,'SCH C'!$C$15:$E$25,3,FALSE),"")</f>
        <v/>
      </c>
      <c r="E93" s="360" t="str">
        <f>IFERROR(VLOOKUP($A93,'SCH C'!$C$15:$G$25,5,FALSE),"")</f>
        <v/>
      </c>
      <c r="F93" s="26" t="e">
        <f>IF((D93&gt;=(1575*2)),ROUND(E93*0.01,2),"-")</f>
        <v>#VALUE!</v>
      </c>
    </row>
    <row r="94" spans="1:6" x14ac:dyDescent="0.3">
      <c r="A94" s="326" t="s">
        <v>362</v>
      </c>
      <c r="B94" s="326" t="s">
        <v>368</v>
      </c>
      <c r="C94" s="326" t="s">
        <v>247</v>
      </c>
      <c r="D94" s="345" t="str">
        <f>IFERROR(VLOOKUP($A94,'SCH C'!$C$15:$E$25,3,FALSE),"")</f>
        <v/>
      </c>
      <c r="E94" s="360" t="str">
        <f>IFERROR(VLOOKUP($A94,'SCH C'!$C$15:$G$25,5,FALSE),"")</f>
        <v/>
      </c>
      <c r="F94" s="26" t="e">
        <f>IF((D94&gt;=(787.5*2)),ROUND(E94*0.01,2),"-")</f>
        <v>#VALUE!</v>
      </c>
    </row>
    <row r="95" spans="1:6" x14ac:dyDescent="0.3">
      <c r="A95" s="327" t="s">
        <v>363</v>
      </c>
      <c r="B95" s="327" t="s">
        <v>369</v>
      </c>
      <c r="C95" s="327" t="s">
        <v>247</v>
      </c>
      <c r="D95" s="345" t="str">
        <f>IFERROR(VLOOKUP($A95,'SCH C'!$C$15:$E$25,3,FALSE),"")</f>
        <v/>
      </c>
      <c r="E95" s="360" t="str">
        <f>IFERROR(VLOOKUP($A95,'SCH C'!$C$15:$G$25,5,FALSE),"")</f>
        <v/>
      </c>
      <c r="F95" s="26" t="e">
        <f>IF((D95&gt;=(1050*2)),ROUND(E95*0.01,2),"-")</f>
        <v>#VALUE!</v>
      </c>
    </row>
    <row r="96" spans="1:6" x14ac:dyDescent="0.3">
      <c r="A96" s="326" t="s">
        <v>364</v>
      </c>
      <c r="B96" s="326" t="s">
        <v>370</v>
      </c>
      <c r="C96" s="326" t="s">
        <v>247</v>
      </c>
      <c r="D96" s="345" t="str">
        <f>IFERROR(VLOOKUP($A96,'SCH C'!$C$15:$E$25,3,FALSE),"")</f>
        <v/>
      </c>
      <c r="E96" s="360" t="str">
        <f>IFERROR(VLOOKUP($A96,'SCH C'!$C$15:$G$25,5,FALSE),"")</f>
        <v/>
      </c>
      <c r="F96" s="26" t="e">
        <f>IF((D96&gt;=(787.5*2)),ROUND(E96*0.01,2),"-")</f>
        <v>#VALUE!</v>
      </c>
    </row>
    <row r="97" spans="1:6" x14ac:dyDescent="0.3">
      <c r="A97" s="327" t="s">
        <v>365</v>
      </c>
      <c r="B97" s="327" t="s">
        <v>371</v>
      </c>
      <c r="C97" s="327" t="s">
        <v>247</v>
      </c>
      <c r="D97" s="345" t="str">
        <f>IFERROR(VLOOKUP($A97,'SCH C'!$C$15:$E$25,3,FALSE),"")</f>
        <v/>
      </c>
      <c r="E97" s="360" t="str">
        <f>IFERROR(VLOOKUP($A97,'SCH C'!$C$15:$G$25,5,FALSE),"")</f>
        <v/>
      </c>
      <c r="F97" s="26" t="e">
        <f>IF((D97&gt;=(787.5*2)),ROUND(E97*0.01,2),"-")</f>
        <v>#VALUE!</v>
      </c>
    </row>
    <row r="98" spans="1:6" x14ac:dyDescent="0.3">
      <c r="A98" s="326" t="s">
        <v>366</v>
      </c>
      <c r="B98" s="326" t="s">
        <v>372</v>
      </c>
      <c r="C98" s="326" t="s">
        <v>247</v>
      </c>
      <c r="D98" s="345" t="str">
        <f>IFERROR(VLOOKUP($A98,'SCH C'!$C$15:$E$25,3,FALSE),"")</f>
        <v/>
      </c>
      <c r="E98" s="360" t="str">
        <f>IFERROR(VLOOKUP($A98,'SCH C'!$C$15:$G$25,5,FALSE),"")</f>
        <v/>
      </c>
      <c r="F98" s="26" t="e">
        <f>IF((D98&gt;=(393.75*2)),ROUND(E98*0.01,2),"-")</f>
        <v>#VALUE!</v>
      </c>
    </row>
    <row r="99" spans="1:6" x14ac:dyDescent="0.3">
      <c r="A99" s="327" t="s">
        <v>297</v>
      </c>
      <c r="B99" s="327" t="s">
        <v>304</v>
      </c>
      <c r="C99" s="327" t="s">
        <v>46</v>
      </c>
      <c r="D99" s="345" t="str">
        <f>IFERROR(VLOOKUP($A99,'SCH C'!$C$15:$E$25,3,FALSE),"")</f>
        <v/>
      </c>
      <c r="E99" s="360" t="str">
        <f>IFERROR(VLOOKUP($A99,'SCH C'!$C$15:$G$25,5,FALSE),"")</f>
        <v/>
      </c>
      <c r="F99" s="26" t="e">
        <f>IF((D99&gt;=40000),ROUND(E99*0.05,2),"-")</f>
        <v>#VALUE!</v>
      </c>
    </row>
    <row r="100" spans="1:6" x14ac:dyDescent="0.3">
      <c r="A100" s="326" t="s">
        <v>298</v>
      </c>
      <c r="B100" s="326" t="s">
        <v>305</v>
      </c>
      <c r="C100" s="326" t="s">
        <v>46</v>
      </c>
      <c r="D100" s="345" t="str">
        <f>IFERROR(VLOOKUP($A100,'SCH C'!$C$15:$E$25,3,FALSE),"")</f>
        <v/>
      </c>
      <c r="E100" s="360" t="str">
        <f>IFERROR(VLOOKUP($A100,'SCH C'!$C$15:$G$25,5,FALSE),"")</f>
        <v/>
      </c>
      <c r="F100" s="26" t="e">
        <f t="shared" ref="F100:F105" si="8">IF((D100&gt;=40000),ROUND(E100*0.05,2),"-")</f>
        <v>#VALUE!</v>
      </c>
    </row>
    <row r="101" spans="1:6" x14ac:dyDescent="0.3">
      <c r="A101" s="327" t="s">
        <v>299</v>
      </c>
      <c r="B101" s="327" t="s">
        <v>306</v>
      </c>
      <c r="C101" s="327" t="s">
        <v>46</v>
      </c>
      <c r="D101" s="345" t="str">
        <f>IFERROR(VLOOKUP($A101,'SCH C'!$C$15:$E$25,3,FALSE),"")</f>
        <v/>
      </c>
      <c r="E101" s="360" t="str">
        <f>IFERROR(VLOOKUP($A101,'SCH C'!$C$15:$G$25,5,FALSE),"")</f>
        <v/>
      </c>
      <c r="F101" s="26" t="e">
        <f t="shared" si="8"/>
        <v>#VALUE!</v>
      </c>
    </row>
    <row r="102" spans="1:6" x14ac:dyDescent="0.3">
      <c r="A102" s="326" t="s">
        <v>300</v>
      </c>
      <c r="B102" s="326" t="s">
        <v>307</v>
      </c>
      <c r="C102" s="326" t="s">
        <v>46</v>
      </c>
      <c r="D102" s="345" t="str">
        <f>IFERROR(VLOOKUP($A102,'SCH C'!$C$15:$E$25,3,FALSE),"")</f>
        <v/>
      </c>
      <c r="E102" s="360" t="str">
        <f>IFERROR(VLOOKUP($A102,'SCH C'!$C$15:$G$25,5,FALSE),"")</f>
        <v/>
      </c>
      <c r="F102" s="26" t="e">
        <f t="shared" si="8"/>
        <v>#VALUE!</v>
      </c>
    </row>
    <row r="103" spans="1:6" x14ac:dyDescent="0.3">
      <c r="A103" s="327" t="s">
        <v>301</v>
      </c>
      <c r="B103" s="327" t="s">
        <v>308</v>
      </c>
      <c r="C103" s="327" t="s">
        <v>46</v>
      </c>
      <c r="D103" s="345" t="str">
        <f>IFERROR(VLOOKUP($A103,'SCH C'!$C$15:$E$25,3,FALSE),"")</f>
        <v/>
      </c>
      <c r="E103" s="360" t="str">
        <f>IFERROR(VLOOKUP($A103,'SCH C'!$C$15:$G$25,5,FALSE),"")</f>
        <v/>
      </c>
      <c r="F103" s="26" t="e">
        <f t="shared" si="8"/>
        <v>#VALUE!</v>
      </c>
    </row>
    <row r="104" spans="1:6" x14ac:dyDescent="0.3">
      <c r="A104" s="326" t="s">
        <v>302</v>
      </c>
      <c r="B104" s="326" t="s">
        <v>309</v>
      </c>
      <c r="C104" s="326" t="s">
        <v>46</v>
      </c>
      <c r="D104" s="345" t="str">
        <f>IFERROR(VLOOKUP($A104,'SCH C'!$C$15:$E$25,3,FALSE),"")</f>
        <v/>
      </c>
      <c r="E104" s="360" t="str">
        <f>IFERROR(VLOOKUP($A104,'SCH C'!$C$15:$G$25,5,FALSE),"")</f>
        <v/>
      </c>
      <c r="F104" s="26" t="e">
        <f t="shared" si="8"/>
        <v>#VALUE!</v>
      </c>
    </row>
    <row r="105" spans="1:6" x14ac:dyDescent="0.3">
      <c r="A105" s="327" t="s">
        <v>303</v>
      </c>
      <c r="B105" s="327" t="s">
        <v>310</v>
      </c>
      <c r="C105" s="327" t="s">
        <v>46</v>
      </c>
      <c r="D105" s="345" t="str">
        <f>IFERROR(VLOOKUP($A105,'SCH C'!$C$15:$E$25,3,FALSE),"")</f>
        <v/>
      </c>
      <c r="E105" s="360" t="str">
        <f>IFERROR(VLOOKUP($A105,'SCH C'!$C$15:$G$25,5,FALSE),"")</f>
        <v/>
      </c>
      <c r="F105" s="26" t="e">
        <f t="shared" si="8"/>
        <v>#VALUE!</v>
      </c>
    </row>
    <row r="106" spans="1:6" hidden="1" x14ac:dyDescent="0.3">
      <c r="A106" s="337" t="s">
        <v>373</v>
      </c>
      <c r="B106" s="338" t="s">
        <v>394</v>
      </c>
      <c r="C106" s="339" t="s">
        <v>247</v>
      </c>
    </row>
    <row r="107" spans="1:6" hidden="1" x14ac:dyDescent="0.3">
      <c r="A107" s="327" t="s">
        <v>374</v>
      </c>
      <c r="B107" s="327" t="s">
        <v>395</v>
      </c>
      <c r="C107" s="329" t="s">
        <v>247</v>
      </c>
    </row>
    <row r="108" spans="1:6" hidden="1" x14ac:dyDescent="0.3">
      <c r="A108" s="326" t="s">
        <v>375</v>
      </c>
      <c r="B108" s="326" t="s">
        <v>396</v>
      </c>
      <c r="C108" s="328" t="s">
        <v>247</v>
      </c>
    </row>
    <row r="109" spans="1:6" hidden="1" x14ac:dyDescent="0.3">
      <c r="A109" s="327" t="s">
        <v>376</v>
      </c>
      <c r="B109" s="327" t="s">
        <v>397</v>
      </c>
      <c r="C109" s="329" t="s">
        <v>247</v>
      </c>
    </row>
    <row r="110" spans="1:6" hidden="1" x14ac:dyDescent="0.3">
      <c r="A110" s="326" t="s">
        <v>377</v>
      </c>
      <c r="B110" s="326" t="s">
        <v>398</v>
      </c>
      <c r="C110" s="328" t="s">
        <v>247</v>
      </c>
    </row>
    <row r="111" spans="1:6" hidden="1" x14ac:dyDescent="0.3">
      <c r="A111" s="327" t="s">
        <v>378</v>
      </c>
      <c r="B111" s="327" t="s">
        <v>399</v>
      </c>
      <c r="C111" s="329" t="s">
        <v>247</v>
      </c>
    </row>
    <row r="112" spans="1:6" hidden="1" x14ac:dyDescent="0.3">
      <c r="A112" s="326" t="s">
        <v>379</v>
      </c>
      <c r="B112" s="326" t="s">
        <v>400</v>
      </c>
      <c r="C112" s="328" t="s">
        <v>247</v>
      </c>
    </row>
    <row r="113" spans="1:3" hidden="1" x14ac:dyDescent="0.3">
      <c r="A113" s="327" t="s">
        <v>380</v>
      </c>
      <c r="B113" s="327" t="s">
        <v>401</v>
      </c>
      <c r="C113" s="329" t="s">
        <v>247</v>
      </c>
    </row>
    <row r="114" spans="1:3" hidden="1" x14ac:dyDescent="0.3">
      <c r="A114" s="326" t="s">
        <v>381</v>
      </c>
      <c r="B114" s="326" t="s">
        <v>402</v>
      </c>
      <c r="C114" s="328" t="s">
        <v>247</v>
      </c>
    </row>
    <row r="115" spans="1:3" hidden="1" x14ac:dyDescent="0.3">
      <c r="A115" s="327" t="s">
        <v>382</v>
      </c>
      <c r="B115" s="327" t="s">
        <v>403</v>
      </c>
      <c r="C115" s="329" t="s">
        <v>247</v>
      </c>
    </row>
    <row r="116" spans="1:3" hidden="1" x14ac:dyDescent="0.3">
      <c r="A116" s="326" t="s">
        <v>383</v>
      </c>
      <c r="B116" s="326" t="s">
        <v>404</v>
      </c>
      <c r="C116" s="328" t="s">
        <v>247</v>
      </c>
    </row>
    <row r="117" spans="1:3" hidden="1" x14ac:dyDescent="0.3">
      <c r="A117" s="327" t="s">
        <v>384</v>
      </c>
      <c r="B117" s="327" t="s">
        <v>405</v>
      </c>
      <c r="C117" s="329" t="s">
        <v>247</v>
      </c>
    </row>
    <row r="118" spans="1:3" hidden="1" x14ac:dyDescent="0.3">
      <c r="A118" s="326" t="s">
        <v>385</v>
      </c>
      <c r="B118" s="326" t="s">
        <v>406</v>
      </c>
      <c r="C118" s="328" t="s">
        <v>247</v>
      </c>
    </row>
    <row r="119" spans="1:3" hidden="1" x14ac:dyDescent="0.3">
      <c r="A119" s="327" t="s">
        <v>386</v>
      </c>
      <c r="B119" s="327" t="s">
        <v>407</v>
      </c>
      <c r="C119" s="329" t="s">
        <v>247</v>
      </c>
    </row>
    <row r="120" spans="1:3" hidden="1" x14ac:dyDescent="0.3">
      <c r="A120" s="326" t="s">
        <v>387</v>
      </c>
      <c r="B120" s="326" t="s">
        <v>408</v>
      </c>
      <c r="C120" s="328" t="s">
        <v>247</v>
      </c>
    </row>
    <row r="121" spans="1:3" hidden="1" x14ac:dyDescent="0.3">
      <c r="A121" s="327" t="s">
        <v>388</v>
      </c>
      <c r="B121" s="327" t="s">
        <v>409</v>
      </c>
      <c r="C121" s="329" t="s">
        <v>247</v>
      </c>
    </row>
    <row r="122" spans="1:3" hidden="1" x14ac:dyDescent="0.3">
      <c r="A122" s="326" t="s">
        <v>389</v>
      </c>
      <c r="B122" s="326" t="s">
        <v>410</v>
      </c>
      <c r="C122" s="328" t="s">
        <v>247</v>
      </c>
    </row>
    <row r="123" spans="1:3" hidden="1" x14ac:dyDescent="0.3">
      <c r="A123" s="327" t="s">
        <v>390</v>
      </c>
      <c r="B123" s="327" t="s">
        <v>411</v>
      </c>
      <c r="C123" s="329" t="s">
        <v>247</v>
      </c>
    </row>
    <row r="124" spans="1:3" hidden="1" x14ac:dyDescent="0.3">
      <c r="A124" s="326" t="s">
        <v>391</v>
      </c>
      <c r="B124" s="326" t="s">
        <v>412</v>
      </c>
      <c r="C124" s="328" t="s">
        <v>247</v>
      </c>
    </row>
    <row r="125" spans="1:3" hidden="1" x14ac:dyDescent="0.3">
      <c r="A125" s="327" t="s">
        <v>392</v>
      </c>
      <c r="B125" s="327" t="s">
        <v>413</v>
      </c>
      <c r="C125" s="329" t="s">
        <v>247</v>
      </c>
    </row>
    <row r="126" spans="1:3" hidden="1" x14ac:dyDescent="0.3">
      <c r="A126" s="326" t="s">
        <v>393</v>
      </c>
      <c r="B126" s="326" t="s">
        <v>414</v>
      </c>
      <c r="C126" s="328" t="s">
        <v>247</v>
      </c>
    </row>
    <row r="127" spans="1:3" hidden="1" x14ac:dyDescent="0.3">
      <c r="A127" s="327" t="s">
        <v>415</v>
      </c>
      <c r="B127" s="327" t="s">
        <v>423</v>
      </c>
      <c r="C127" s="327" t="s">
        <v>247</v>
      </c>
    </row>
    <row r="128" spans="1:3" hidden="1" x14ac:dyDescent="0.3">
      <c r="A128" s="326" t="s">
        <v>416</v>
      </c>
      <c r="B128" s="326" t="s">
        <v>424</v>
      </c>
      <c r="C128" s="326" t="s">
        <v>247</v>
      </c>
    </row>
    <row r="129" spans="1:3" hidden="1" x14ac:dyDescent="0.3">
      <c r="A129" s="327" t="s">
        <v>417</v>
      </c>
      <c r="B129" s="327" t="s">
        <v>425</v>
      </c>
      <c r="C129" s="327" t="s">
        <v>247</v>
      </c>
    </row>
    <row r="130" spans="1:3" hidden="1" x14ac:dyDescent="0.3">
      <c r="A130" s="326" t="s">
        <v>418</v>
      </c>
      <c r="B130" s="326" t="s">
        <v>426</v>
      </c>
      <c r="C130" s="326" t="s">
        <v>247</v>
      </c>
    </row>
    <row r="131" spans="1:3" hidden="1" x14ac:dyDescent="0.3">
      <c r="A131" s="327" t="s">
        <v>419</v>
      </c>
      <c r="B131" s="327" t="s">
        <v>427</v>
      </c>
      <c r="C131" s="327" t="s">
        <v>247</v>
      </c>
    </row>
    <row r="132" spans="1:3" hidden="1" x14ac:dyDescent="0.3">
      <c r="A132" s="326" t="s">
        <v>420</v>
      </c>
      <c r="B132" s="326" t="s">
        <v>428</v>
      </c>
      <c r="C132" s="326" t="s">
        <v>247</v>
      </c>
    </row>
    <row r="133" spans="1:3" hidden="1" x14ac:dyDescent="0.3">
      <c r="A133" s="327" t="s">
        <v>421</v>
      </c>
      <c r="B133" s="327" t="s">
        <v>429</v>
      </c>
      <c r="C133" s="327" t="s">
        <v>247</v>
      </c>
    </row>
    <row r="134" spans="1:3" hidden="1" x14ac:dyDescent="0.3">
      <c r="A134" s="326" t="s">
        <v>422</v>
      </c>
      <c r="B134" s="326" t="s">
        <v>430</v>
      </c>
      <c r="C134" s="326" t="s">
        <v>247</v>
      </c>
    </row>
    <row r="135" spans="1:3" ht="27.6" hidden="1" x14ac:dyDescent="0.3">
      <c r="A135" s="337" t="s">
        <v>373</v>
      </c>
      <c r="B135" s="343" t="s">
        <v>394</v>
      </c>
      <c r="C135" s="339" t="s">
        <v>247</v>
      </c>
    </row>
    <row r="136" spans="1:3" ht="27.6" hidden="1" x14ac:dyDescent="0.3">
      <c r="A136" s="327" t="s">
        <v>374</v>
      </c>
      <c r="B136" s="334" t="s">
        <v>395</v>
      </c>
      <c r="C136" s="329" t="s">
        <v>247</v>
      </c>
    </row>
    <row r="137" spans="1:3" ht="27.6" hidden="1" x14ac:dyDescent="0.3">
      <c r="A137" s="326" t="s">
        <v>375</v>
      </c>
      <c r="B137" s="335" t="s">
        <v>396</v>
      </c>
      <c r="C137" s="328" t="s">
        <v>247</v>
      </c>
    </row>
    <row r="138" spans="1:3" ht="27.6" hidden="1" x14ac:dyDescent="0.3">
      <c r="A138" s="327" t="s">
        <v>376</v>
      </c>
      <c r="B138" s="334" t="s">
        <v>397</v>
      </c>
      <c r="C138" s="329" t="s">
        <v>247</v>
      </c>
    </row>
    <row r="139" spans="1:3" ht="27.6" hidden="1" x14ac:dyDescent="0.3">
      <c r="A139" s="326" t="s">
        <v>377</v>
      </c>
      <c r="B139" s="335" t="s">
        <v>398</v>
      </c>
      <c r="C139" s="328" t="s">
        <v>247</v>
      </c>
    </row>
    <row r="140" spans="1:3" ht="27.6" hidden="1" x14ac:dyDescent="0.3">
      <c r="A140" s="327" t="s">
        <v>378</v>
      </c>
      <c r="B140" s="334" t="s">
        <v>399</v>
      </c>
      <c r="C140" s="329" t="s">
        <v>247</v>
      </c>
    </row>
    <row r="141" spans="1:3" ht="27.6" hidden="1" x14ac:dyDescent="0.3">
      <c r="A141" s="326" t="s">
        <v>379</v>
      </c>
      <c r="B141" s="335" t="s">
        <v>400</v>
      </c>
      <c r="C141" s="328" t="s">
        <v>247</v>
      </c>
    </row>
    <row r="142" spans="1:3" ht="27.6" hidden="1" x14ac:dyDescent="0.3">
      <c r="A142" s="327" t="s">
        <v>386</v>
      </c>
      <c r="B142" s="334" t="s">
        <v>407</v>
      </c>
      <c r="C142" s="329" t="s">
        <v>247</v>
      </c>
    </row>
    <row r="143" spans="1:3" ht="27.6" hidden="1" x14ac:dyDescent="0.3">
      <c r="A143" s="326" t="s">
        <v>387</v>
      </c>
      <c r="B143" s="335" t="s">
        <v>408</v>
      </c>
      <c r="C143" s="328" t="s">
        <v>247</v>
      </c>
    </row>
    <row r="144" spans="1:3" ht="27.6" hidden="1" x14ac:dyDescent="0.3">
      <c r="A144" s="327" t="s">
        <v>388</v>
      </c>
      <c r="B144" s="334" t="s">
        <v>409</v>
      </c>
      <c r="C144" s="329" t="s">
        <v>247</v>
      </c>
    </row>
    <row r="145" spans="1:3" hidden="1" x14ac:dyDescent="0.3">
      <c r="A145" s="327" t="s">
        <v>415</v>
      </c>
      <c r="B145" s="327" t="s">
        <v>423</v>
      </c>
      <c r="C145" s="327" t="s">
        <v>247</v>
      </c>
    </row>
    <row r="146" spans="1:3" hidden="1" x14ac:dyDescent="0.3">
      <c r="A146" s="326" t="s">
        <v>416</v>
      </c>
      <c r="B146" s="326" t="s">
        <v>424</v>
      </c>
      <c r="C146" s="326" t="s">
        <v>247</v>
      </c>
    </row>
    <row r="147" spans="1:3" hidden="1" x14ac:dyDescent="0.3">
      <c r="A147" s="327" t="s">
        <v>417</v>
      </c>
      <c r="B147" s="327" t="s">
        <v>425</v>
      </c>
      <c r="C147" s="327" t="s">
        <v>247</v>
      </c>
    </row>
    <row r="148" spans="1:3" hidden="1" x14ac:dyDescent="0.3">
      <c r="A148" s="326" t="s">
        <v>418</v>
      </c>
      <c r="B148" s="326" t="s">
        <v>426</v>
      </c>
      <c r="C148" s="326" t="s">
        <v>247</v>
      </c>
    </row>
    <row r="149" spans="1:3" hidden="1" x14ac:dyDescent="0.3">
      <c r="A149" s="327" t="s">
        <v>419</v>
      </c>
      <c r="B149" s="327" t="s">
        <v>427</v>
      </c>
      <c r="C149" s="327" t="s">
        <v>247</v>
      </c>
    </row>
    <row r="150" spans="1:3" hidden="1" x14ac:dyDescent="0.3">
      <c r="A150" s="326" t="s">
        <v>420</v>
      </c>
      <c r="B150" s="326" t="s">
        <v>428</v>
      </c>
      <c r="C150" s="326" t="s">
        <v>247</v>
      </c>
    </row>
  </sheetData>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87"/>
  <sheetViews>
    <sheetView zoomScaleNormal="100" workbookViewId="0">
      <selection activeCell="N25" sqref="N25"/>
    </sheetView>
  </sheetViews>
  <sheetFormatPr defaultColWidth="9.109375" defaultRowHeight="13.2" x14ac:dyDescent="0.25"/>
  <cols>
    <col min="1" max="1" width="14.109375" style="6" customWidth="1"/>
    <col min="2" max="2" width="1.6640625" style="6" customWidth="1"/>
    <col min="3" max="3" width="30.109375" style="6" customWidth="1"/>
    <col min="4" max="4" width="2" style="6" customWidth="1"/>
    <col min="5" max="5" width="14.109375" style="37" customWidth="1"/>
    <col min="6" max="6" width="1.6640625" style="37" customWidth="1"/>
    <col min="7" max="7" width="12.44140625" style="38" customWidth="1"/>
    <col min="8" max="8" width="14.44140625" style="38" customWidth="1"/>
    <col min="9" max="9" width="11.44140625" style="38" customWidth="1"/>
    <col min="10" max="10" width="16.6640625" style="38" customWidth="1"/>
    <col min="11" max="16384" width="9.109375" style="6"/>
  </cols>
  <sheetData>
    <row r="1" spans="1:10" ht="31.2" customHeight="1" x14ac:dyDescent="0.3">
      <c r="A1" s="381" t="s">
        <v>163</v>
      </c>
      <c r="B1" s="381"/>
      <c r="C1" s="381"/>
      <c r="D1" s="381"/>
      <c r="E1" s="381"/>
      <c r="F1" s="381"/>
      <c r="G1" s="381"/>
      <c r="H1" s="381"/>
      <c r="I1" s="381"/>
      <c r="J1" s="381"/>
    </row>
    <row r="2" spans="1:10" x14ac:dyDescent="0.25">
      <c r="A2" s="323" t="str">
        <f>'SCH A'!A2</f>
        <v xml:space="preserve"> (Fill out this form regardless of the project being qualified for incentives or not)</v>
      </c>
      <c r="B2" s="323"/>
      <c r="C2" s="323"/>
      <c r="D2" s="323"/>
      <c r="E2" s="323"/>
      <c r="F2" s="323"/>
      <c r="G2" s="323"/>
      <c r="H2" s="323"/>
      <c r="I2" s="323"/>
      <c r="J2" s="323"/>
    </row>
    <row r="3" spans="1:10" x14ac:dyDescent="0.25">
      <c r="A3" s="7"/>
      <c r="B3" s="7"/>
      <c r="C3" s="7"/>
      <c r="D3" s="11" t="s">
        <v>14</v>
      </c>
      <c r="E3" s="42" t="str">
        <f>Instructions!P7</f>
        <v>FP-14</v>
      </c>
      <c r="F3" s="8"/>
      <c r="G3" s="9"/>
      <c r="H3" s="9"/>
      <c r="I3" s="9"/>
      <c r="J3" s="9"/>
    </row>
    <row r="4" spans="1:10" x14ac:dyDescent="0.25">
      <c r="A4" s="7"/>
      <c r="B4" s="7"/>
      <c r="C4" s="7"/>
      <c r="D4" s="7"/>
      <c r="E4" s="10"/>
      <c r="F4" s="8"/>
      <c r="G4" s="9"/>
      <c r="H4" s="9"/>
      <c r="I4" s="9"/>
      <c r="J4" s="9"/>
    </row>
    <row r="5" spans="1:10" x14ac:dyDescent="0.25">
      <c r="A5" s="11" t="s">
        <v>2</v>
      </c>
      <c r="B5" s="11"/>
      <c r="C5" s="41">
        <f>'SCH A'!C5</f>
        <v>0</v>
      </c>
      <c r="D5" s="41"/>
      <c r="E5" s="12"/>
      <c r="F5" s="12"/>
      <c r="G5" s="13"/>
      <c r="H5" s="14"/>
      <c r="I5" s="14" t="s">
        <v>4</v>
      </c>
      <c r="J5" s="15">
        <f ca="1" xml:space="preserve"> TODAY()</f>
        <v>44474</v>
      </c>
    </row>
    <row r="6" spans="1:10" ht="6" customHeight="1" x14ac:dyDescent="0.25">
      <c r="A6" s="11"/>
      <c r="B6" s="11"/>
      <c r="C6" s="362"/>
      <c r="D6" s="362"/>
      <c r="E6" s="12"/>
      <c r="F6" s="12"/>
      <c r="G6" s="13"/>
      <c r="H6" s="14"/>
      <c r="I6" s="14"/>
      <c r="J6" s="15"/>
    </row>
    <row r="7" spans="1:10" x14ac:dyDescent="0.25">
      <c r="A7" s="11" t="s">
        <v>3</v>
      </c>
      <c r="B7" s="11"/>
      <c r="C7" s="383">
        <f>'SCH A'!C7:G7</f>
        <v>0</v>
      </c>
      <c r="D7" s="383"/>
      <c r="E7" s="383"/>
      <c r="F7" s="383"/>
      <c r="G7" s="383"/>
      <c r="H7" s="253"/>
      <c r="I7" s="253" t="s">
        <v>433</v>
      </c>
      <c r="J7" s="1" t="s">
        <v>182</v>
      </c>
    </row>
    <row r="8" spans="1:10" ht="6" customHeight="1" x14ac:dyDescent="0.25">
      <c r="A8" s="11"/>
      <c r="B8" s="11"/>
      <c r="C8" s="362"/>
      <c r="D8" s="362"/>
      <c r="E8" s="362"/>
      <c r="F8" s="362"/>
      <c r="G8" s="362"/>
      <c r="H8" s="14"/>
      <c r="I8" s="14"/>
      <c r="J8" s="17"/>
    </row>
    <row r="9" spans="1:10" x14ac:dyDescent="0.25">
      <c r="A9" s="7"/>
      <c r="B9" s="7"/>
      <c r="C9" s="7"/>
      <c r="D9" s="7"/>
      <c r="E9" s="8"/>
      <c r="F9" s="8"/>
      <c r="G9" s="9"/>
      <c r="H9" s="14"/>
      <c r="I9" s="14" t="s">
        <v>6</v>
      </c>
      <c r="J9" s="2" t="str">
        <f>Instructions!P6</f>
        <v>US CUSTOMARY</v>
      </c>
    </row>
    <row r="10" spans="1:10" ht="14.4" customHeight="1" thickBot="1" x14ac:dyDescent="0.3">
      <c r="A10" s="7"/>
      <c r="B10" s="7"/>
      <c r="C10" s="7"/>
      <c r="D10" s="7"/>
      <c r="E10" s="8"/>
      <c r="F10" s="8"/>
      <c r="G10" s="9"/>
      <c r="H10" s="14"/>
      <c r="I10" s="14"/>
      <c r="J10" s="13"/>
    </row>
    <row r="11" spans="1:10" ht="19.2" customHeight="1" x14ac:dyDescent="0.3">
      <c r="A11" s="306"/>
      <c r="B11" s="307"/>
      <c r="C11" s="306" t="s">
        <v>177</v>
      </c>
      <c r="D11" s="307"/>
      <c r="E11" s="307"/>
      <c r="F11" s="305"/>
      <c r="G11" s="308"/>
      <c r="H11" s="309" t="str">
        <f>IF(FP="FP-03","SEE NOTE 1","SEE NOTES 1 and 4")</f>
        <v>SEE NOTES 1 and 4</v>
      </c>
      <c r="I11" s="309"/>
      <c r="J11" s="364"/>
    </row>
    <row r="12" spans="1:10" ht="13.8" thickBot="1" x14ac:dyDescent="0.3">
      <c r="A12" s="387" t="str">
        <f>"Use for the following FP Sections: "&amp;IF(FP="FP-03","301, 302, 304, 405, 409, 578, and 579","301, 309, 311, 405, and 407")</f>
        <v>Use for the following FP Sections: 301, 309, 311, 405, and 407</v>
      </c>
      <c r="B12" s="387"/>
      <c r="C12" s="387"/>
      <c r="D12" s="387"/>
      <c r="E12" s="387"/>
      <c r="F12" s="387"/>
      <c r="G12" s="387"/>
      <c r="H12" s="387"/>
      <c r="I12" s="387"/>
      <c r="J12" s="387"/>
    </row>
    <row r="13" spans="1:10" x14ac:dyDescent="0.25">
      <c r="A13" s="18" t="s">
        <v>186</v>
      </c>
      <c r="B13" s="18"/>
      <c r="C13" s="18" t="s">
        <v>176</v>
      </c>
      <c r="D13" s="18"/>
      <c r="E13" s="18" t="s">
        <v>9</v>
      </c>
      <c r="F13" s="18"/>
      <c r="G13" s="18"/>
      <c r="H13" s="18"/>
      <c r="I13" s="18"/>
      <c r="J13" s="18"/>
    </row>
    <row r="14" spans="1:10" ht="27" thickBot="1" x14ac:dyDescent="0.3">
      <c r="A14" s="325" t="s">
        <v>185</v>
      </c>
      <c r="B14" s="19"/>
      <c r="C14" s="19" t="s">
        <v>167</v>
      </c>
      <c r="D14" s="20"/>
      <c r="E14" s="336" t="str">
        <f>IF(Units="US CUSTOMARY"," (Tons, yd3, or yd2)"," (tonnes, m3, or m2)")</f>
        <v xml:space="preserve"> (Tons, yd3, or yd2)</v>
      </c>
      <c r="F14" s="22"/>
      <c r="G14" s="21" t="s">
        <v>0</v>
      </c>
      <c r="H14" s="21" t="str">
        <f>"Q_"&amp;IF(Units="US CUSTOMARY","Ton","t")&amp;" Unit Price"</f>
        <v>Q_Ton Unit Price</v>
      </c>
      <c r="I14" s="21" t="s">
        <v>431</v>
      </c>
      <c r="J14" s="21" t="s">
        <v>1</v>
      </c>
    </row>
    <row r="15" spans="1:10" ht="14.4" thickTop="1" x14ac:dyDescent="0.3">
      <c r="A15" s="351"/>
      <c r="B15" s="298"/>
      <c r="C15" s="347"/>
      <c r="D15" s="24"/>
      <c r="E15" s="358"/>
      <c r="F15" s="25"/>
      <c r="G15" s="359"/>
      <c r="H15" s="26" t="str">
        <f>IFERROR(VLOOKUP(C15,inputSchD!$A$2:$F$105,6,FALSE),"")</f>
        <v/>
      </c>
      <c r="I15" s="361" t="str">
        <f>IFERROR(H15/G15,"")</f>
        <v/>
      </c>
      <c r="J15" s="26" t="str">
        <f>IF(AND(ISNUMBER(E15),ISNUMBER(H15)),E15*H15,"-")</f>
        <v>-</v>
      </c>
    </row>
    <row r="16" spans="1:10" ht="6" customHeight="1" x14ac:dyDescent="0.25">
      <c r="A16" s="352"/>
      <c r="B16" s="299"/>
      <c r="C16" s="348"/>
      <c r="D16" s="24"/>
      <c r="E16" s="330"/>
      <c r="F16" s="25"/>
      <c r="G16" s="27"/>
      <c r="H16" s="26"/>
      <c r="I16" s="361"/>
      <c r="J16" s="26"/>
    </row>
    <row r="17" spans="1:13" ht="13.8" x14ac:dyDescent="0.3">
      <c r="A17" s="300"/>
      <c r="B17" s="299"/>
      <c r="C17" s="347"/>
      <c r="D17" s="24"/>
      <c r="E17" s="358"/>
      <c r="F17" s="25"/>
      <c r="G17" s="359"/>
      <c r="H17" s="26" t="str">
        <f>IFERROR(VLOOKUP(C17,inputSchD!$A$2:$F$105,6,FALSE),"")</f>
        <v/>
      </c>
      <c r="I17" s="361" t="str">
        <f>IFERROR(H17/G17,"")</f>
        <v/>
      </c>
      <c r="J17" s="26" t="str">
        <f>IF(AND(ISNUMBER(E17),ISNUMBER(H17)),E17*H17,"-")</f>
        <v>-</v>
      </c>
    </row>
    <row r="18" spans="1:13" ht="6" customHeight="1" x14ac:dyDescent="0.25">
      <c r="A18" s="352"/>
      <c r="B18" s="299"/>
      <c r="C18" s="348"/>
      <c r="D18" s="24"/>
      <c r="E18" s="331"/>
      <c r="F18" s="25"/>
      <c r="G18" s="26"/>
      <c r="H18" s="26"/>
      <c r="I18" s="361"/>
      <c r="J18" s="26"/>
    </row>
    <row r="19" spans="1:13" ht="13.8" x14ac:dyDescent="0.3">
      <c r="A19" s="300"/>
      <c r="B19" s="299"/>
      <c r="C19" s="347"/>
      <c r="D19" s="24"/>
      <c r="E19" s="358"/>
      <c r="F19" s="25"/>
      <c r="G19" s="359"/>
      <c r="H19" s="26" t="str">
        <f>IFERROR(VLOOKUP(C19,inputSchD!$A$2:$F$105,6,FALSE),"")</f>
        <v/>
      </c>
      <c r="I19" s="361" t="str">
        <f>IFERROR(H19/G19,"")</f>
        <v/>
      </c>
      <c r="J19" s="26" t="str">
        <f>IF(AND(ISNUMBER(E19),ISNUMBER(H19)),E19*H19,"-")</f>
        <v>-</v>
      </c>
    </row>
    <row r="20" spans="1:13" ht="6" customHeight="1" x14ac:dyDescent="0.25">
      <c r="A20" s="352"/>
      <c r="B20" s="299"/>
      <c r="C20" s="348"/>
      <c r="D20" s="24"/>
      <c r="E20" s="331"/>
      <c r="F20" s="25"/>
      <c r="G20" s="26"/>
      <c r="H20" s="26"/>
      <c r="I20" s="361"/>
      <c r="J20" s="26"/>
    </row>
    <row r="21" spans="1:13" ht="13.8" x14ac:dyDescent="0.3">
      <c r="A21" s="300"/>
      <c r="B21" s="299"/>
      <c r="C21" s="347"/>
      <c r="D21" s="24"/>
      <c r="E21" s="358"/>
      <c r="F21" s="25"/>
      <c r="G21" s="359"/>
      <c r="H21" s="26" t="str">
        <f>IFERROR(VLOOKUP(C21,inputSchD!$A$2:$F$105,6,FALSE),"")</f>
        <v/>
      </c>
      <c r="I21" s="361" t="str">
        <f>IFERROR(H21/G21,"")</f>
        <v/>
      </c>
      <c r="J21" s="26" t="str">
        <f>IF(AND(ISNUMBER(E21),ISNUMBER(H21)),E21*H21,"-")</f>
        <v>-</v>
      </c>
    </row>
    <row r="22" spans="1:13" ht="6" customHeight="1" x14ac:dyDescent="0.25">
      <c r="A22" s="352"/>
      <c r="B22" s="299"/>
      <c r="C22" s="348"/>
      <c r="D22" s="24"/>
      <c r="E22" s="331"/>
      <c r="F22" s="25"/>
      <c r="G22" s="26"/>
      <c r="H22" s="26"/>
      <c r="I22" s="361"/>
      <c r="J22" s="26"/>
    </row>
    <row r="23" spans="1:13" ht="13.8" x14ac:dyDescent="0.3">
      <c r="A23" s="300"/>
      <c r="B23" s="299"/>
      <c r="C23" s="347"/>
      <c r="D23" s="24"/>
      <c r="E23" s="358"/>
      <c r="F23" s="25"/>
      <c r="G23" s="359"/>
      <c r="H23" s="26" t="str">
        <f>IFERROR(VLOOKUP(C23,inputSchD!$A$2:$F$105,6,FALSE),"")</f>
        <v/>
      </c>
      <c r="I23" s="361" t="str">
        <f>IFERROR(H23/G23,"")</f>
        <v/>
      </c>
      <c r="J23" s="26" t="str">
        <f>IF(AND(ISNUMBER(E23),ISNUMBER(H23)),E23*H23,"-")</f>
        <v>-</v>
      </c>
    </row>
    <row r="24" spans="1:13" ht="6" customHeight="1" x14ac:dyDescent="0.25">
      <c r="A24" s="352"/>
      <c r="B24" s="299"/>
      <c r="C24" s="348"/>
      <c r="D24" s="24"/>
      <c r="E24" s="331"/>
      <c r="F24" s="25"/>
      <c r="G24" s="26"/>
      <c r="H24" s="26"/>
      <c r="I24" s="361"/>
      <c r="J24" s="26"/>
    </row>
    <row r="25" spans="1:13" ht="13.8" x14ac:dyDescent="0.3">
      <c r="A25" s="300"/>
      <c r="B25" s="299"/>
      <c r="C25" s="347"/>
      <c r="D25" s="24"/>
      <c r="E25" s="358"/>
      <c r="F25" s="25"/>
      <c r="G25" s="359"/>
      <c r="H25" s="26" t="str">
        <f>IFERROR(VLOOKUP(C25,inputSchD!$A$2:$F$105,6,FALSE),"")</f>
        <v/>
      </c>
      <c r="I25" s="361" t="str">
        <f>IFERROR(H25/G25,"")</f>
        <v/>
      </c>
      <c r="J25" s="26" t="str">
        <f>IF(AND(ISNUMBER(E25),ISNUMBER(H25)),E25*H25,"-")</f>
        <v>-</v>
      </c>
    </row>
    <row r="26" spans="1:13" ht="13.8" thickBot="1" x14ac:dyDescent="0.3">
      <c r="A26" s="23"/>
      <c r="B26" s="23"/>
      <c r="C26" s="349"/>
      <c r="D26" s="24"/>
      <c r="E26" s="25"/>
      <c r="F26" s="25"/>
      <c r="G26" s="27"/>
      <c r="H26" s="26"/>
      <c r="I26" s="26"/>
      <c r="J26" s="26"/>
    </row>
    <row r="27" spans="1:13" ht="18" x14ac:dyDescent="0.3">
      <c r="A27" s="384" t="s">
        <v>170</v>
      </c>
      <c r="B27" s="384"/>
      <c r="C27" s="384"/>
      <c r="D27" s="384"/>
      <c r="E27" s="384"/>
      <c r="F27" s="384"/>
      <c r="G27" s="384"/>
      <c r="H27" s="384"/>
      <c r="I27" s="384"/>
      <c r="J27" s="384"/>
      <c r="M27" s="28"/>
    </row>
    <row r="28" spans="1:13" ht="13.8" thickBot="1" x14ac:dyDescent="0.3">
      <c r="A28" s="387" t="s">
        <v>169</v>
      </c>
      <c r="B28" s="387"/>
      <c r="C28" s="387"/>
      <c r="D28" s="387"/>
      <c r="E28" s="387"/>
      <c r="F28" s="387"/>
      <c r="G28" s="387"/>
      <c r="H28" s="387"/>
      <c r="I28" s="387"/>
      <c r="J28" s="387"/>
      <c r="M28" s="28"/>
    </row>
    <row r="29" spans="1:13" x14ac:dyDescent="0.25">
      <c r="A29" s="18" t="s">
        <v>186</v>
      </c>
      <c r="B29" s="18"/>
      <c r="C29" s="18" t="s">
        <v>176</v>
      </c>
      <c r="D29" s="18"/>
      <c r="E29" s="18" t="s">
        <v>9</v>
      </c>
      <c r="F29" s="18"/>
      <c r="G29" s="18"/>
      <c r="H29" s="18"/>
      <c r="I29" s="18"/>
      <c r="J29" s="18"/>
      <c r="M29" s="28"/>
    </row>
    <row r="30" spans="1:13" ht="13.8" thickBot="1" x14ac:dyDescent="0.3">
      <c r="A30" s="325" t="s">
        <v>185</v>
      </c>
      <c r="B30" s="19"/>
      <c r="C30" s="19" t="s">
        <v>167</v>
      </c>
      <c r="D30" s="20"/>
      <c r="E30" s="21" t="str">
        <f>IF(Units="US CUSTOMARY"," (Ton)"," (tonnes)")</f>
        <v xml:space="preserve"> (Ton)</v>
      </c>
      <c r="F30" s="22"/>
      <c r="G30" s="21" t="s">
        <v>0</v>
      </c>
      <c r="H30" s="21" t="str">
        <f>"Q_"&amp;IF(Units="US CUSTOMARY","Ton","t")&amp;" Unit Price"</f>
        <v>Q_Ton Unit Price</v>
      </c>
      <c r="I30" s="21" t="s">
        <v>431</v>
      </c>
      <c r="J30" s="21" t="s">
        <v>1</v>
      </c>
    </row>
    <row r="31" spans="1:13" ht="14.4" thickTop="1" x14ac:dyDescent="0.3">
      <c r="A31" s="291"/>
      <c r="B31" s="23"/>
      <c r="C31" s="347"/>
      <c r="D31" s="24"/>
      <c r="E31" s="3"/>
      <c r="F31" s="353"/>
      <c r="G31" s="4"/>
      <c r="H31" s="26" t="str">
        <f>IF(AND(E31&gt;=2100,E31&lt;4200),ROUND(G31*0.02,2),IF(AND(E31&gt;=4200,E31&lt;4900),ROUND(G31*0.04,2),IF(AND(E31&gt;=4900,E31&lt;5600),ROUND(G31*0.05,2),IF(AND(E31&gt;=5600),ROUND(G31*0.06,2),"-"))))</f>
        <v>-</v>
      </c>
      <c r="I31" s="361" t="str">
        <f>IFERROR(H31/G31,"")</f>
        <v/>
      </c>
      <c r="J31" s="26" t="str">
        <f>IF(AND(ISNUMBER(E31),ISNUMBER(H31)),E31*H31,"-")</f>
        <v>-</v>
      </c>
    </row>
    <row r="32" spans="1:13" ht="6" customHeight="1" x14ac:dyDescent="0.25">
      <c r="A32" s="350"/>
      <c r="B32" s="23"/>
      <c r="C32" s="349"/>
      <c r="D32" s="24"/>
      <c r="E32" s="353"/>
      <c r="F32" s="353"/>
      <c r="G32" s="354"/>
      <c r="H32" s="26"/>
      <c r="I32" s="26"/>
      <c r="J32" s="26"/>
    </row>
    <row r="33" spans="1:10" ht="13.8" x14ac:dyDescent="0.3">
      <c r="A33" s="291"/>
      <c r="B33" s="23"/>
      <c r="C33" s="347"/>
      <c r="D33" s="24"/>
      <c r="E33" s="3"/>
      <c r="F33" s="353"/>
      <c r="G33" s="4"/>
      <c r="H33" s="26" t="str">
        <f>IF(AND(E33&gt;=2100,E33&lt;4200),ROUND(G33*0.02,2),IF(AND(E33&gt;=4200,E33&lt;4900),ROUND(G33*0.04,2),IF(AND(E33&gt;=4900,E33&lt;5600),ROUND(G33*0.05,2),IF(AND(E33&gt;=5600),ROUND(G33*0.06,2),"-"))))</f>
        <v>-</v>
      </c>
      <c r="I33" s="361" t="str">
        <f>IFERROR(H33/G33,"")</f>
        <v/>
      </c>
      <c r="J33" s="26" t="str">
        <f>IF(AND(ISNUMBER(E33),ISNUMBER(H33)),E33*H33,"-")</f>
        <v>-</v>
      </c>
    </row>
    <row r="34" spans="1:10" ht="5.4" customHeight="1" x14ac:dyDescent="0.25">
      <c r="A34" s="350"/>
      <c r="B34" s="23"/>
      <c r="C34" s="349"/>
      <c r="D34" s="24"/>
      <c r="E34" s="355"/>
      <c r="F34" s="353"/>
      <c r="G34" s="356"/>
      <c r="H34" s="26"/>
      <c r="I34" s="26"/>
      <c r="J34" s="26"/>
    </row>
    <row r="35" spans="1:10" ht="13.8" x14ac:dyDescent="0.3">
      <c r="A35" s="291"/>
      <c r="B35" s="23"/>
      <c r="C35" s="347"/>
      <c r="D35" s="24"/>
      <c r="E35" s="3"/>
      <c r="F35" s="353"/>
      <c r="G35" s="4"/>
      <c r="H35" s="26" t="str">
        <f>IF(AND(E35&gt;=2100,E35&lt;4200),ROUND(G35*0.02,2),IF(AND(E35&gt;=4200,E35&lt;4900),ROUND(G35*0.04,2),IF(AND(E35&gt;=4900,E35&lt;5600),ROUND(G35*0.05,2),IF(AND(E35&gt;=5600),ROUND(G35*0.06,2),"-"))))</f>
        <v>-</v>
      </c>
      <c r="I35" s="361" t="str">
        <f>IFERROR(H35/G35,"")</f>
        <v/>
      </c>
      <c r="J35" s="26" t="str">
        <f>IF(AND(ISNUMBER(E35),ISNUMBER(H35)),E35*H35,"-")</f>
        <v>-</v>
      </c>
    </row>
    <row r="36" spans="1:10" x14ac:dyDescent="0.25">
      <c r="A36" s="23"/>
      <c r="B36" s="23"/>
      <c r="C36" s="24"/>
      <c r="D36" s="24"/>
      <c r="E36" s="25"/>
      <c r="F36" s="25"/>
      <c r="G36" s="27"/>
      <c r="H36" s="26"/>
      <c r="I36" s="26"/>
      <c r="J36" s="26"/>
    </row>
    <row r="37" spans="1:10" x14ac:dyDescent="0.25">
      <c r="A37" s="7"/>
      <c r="B37" s="7"/>
      <c r="C37" s="7"/>
      <c r="D37" s="7"/>
      <c r="E37" s="8"/>
      <c r="F37" s="8"/>
      <c r="G37" s="9"/>
      <c r="H37" s="9"/>
      <c r="I37" s="9"/>
      <c r="J37" s="9"/>
    </row>
    <row r="38" spans="1:10" s="30" customFormat="1" x14ac:dyDescent="0.25">
      <c r="A38" s="386" t="s">
        <v>7</v>
      </c>
      <c r="B38" s="386"/>
      <c r="C38" s="386"/>
      <c r="D38" s="386"/>
      <c r="E38" s="386"/>
      <c r="F38" s="386"/>
      <c r="G38" s="386"/>
      <c r="H38" s="386"/>
      <c r="I38" s="363"/>
      <c r="J38" s="29">
        <f>SUM(J15,J17,J19,J21,J23,J25,J31,J33,J35)</f>
        <v>0</v>
      </c>
    </row>
    <row r="39" spans="1:10" x14ac:dyDescent="0.25">
      <c r="A39" s="31"/>
      <c r="B39" s="31"/>
      <c r="C39" s="31"/>
      <c r="D39" s="31"/>
      <c r="E39" s="31"/>
      <c r="F39" s="31"/>
      <c r="G39" s="31"/>
      <c r="H39" s="31"/>
      <c r="I39" s="31"/>
      <c r="J39" s="32"/>
    </row>
    <row r="40" spans="1:10" ht="13.8" thickBot="1" x14ac:dyDescent="0.3">
      <c r="A40" s="31"/>
      <c r="B40" s="31"/>
      <c r="C40" s="31"/>
      <c r="D40" s="31"/>
      <c r="E40" s="31"/>
      <c r="F40" s="31"/>
      <c r="G40" s="31"/>
      <c r="H40" s="31"/>
      <c r="I40" s="31"/>
      <c r="J40" s="32"/>
    </row>
    <row r="41" spans="1:10" ht="18" x14ac:dyDescent="0.3">
      <c r="A41" s="385" t="s">
        <v>171</v>
      </c>
      <c r="B41" s="385"/>
      <c r="C41" s="385"/>
      <c r="D41" s="385"/>
      <c r="E41" s="385"/>
      <c r="F41" s="385"/>
      <c r="G41" s="385"/>
      <c r="H41" s="385"/>
      <c r="I41" s="385"/>
      <c r="J41" s="385"/>
    </row>
    <row r="42" spans="1:10" ht="13.8" thickBot="1" x14ac:dyDescent="0.3">
      <c r="A42" s="382" t="s">
        <v>169</v>
      </c>
      <c r="B42" s="382"/>
      <c r="C42" s="382"/>
      <c r="D42" s="382"/>
      <c r="E42" s="382"/>
      <c r="F42" s="382"/>
      <c r="G42" s="382"/>
      <c r="H42" s="382"/>
      <c r="I42" s="382"/>
      <c r="J42" s="382"/>
    </row>
    <row r="43" spans="1:10" x14ac:dyDescent="0.25">
      <c r="A43" s="18" t="s">
        <v>172</v>
      </c>
      <c r="B43" s="18"/>
      <c r="C43" s="18" t="s">
        <v>173</v>
      </c>
      <c r="D43" s="18"/>
      <c r="E43" s="18" t="s">
        <v>175</v>
      </c>
      <c r="F43" s="18"/>
      <c r="G43" s="18"/>
      <c r="H43" s="18"/>
      <c r="I43" s="18"/>
      <c r="J43" s="18"/>
    </row>
    <row r="44" spans="1:10" ht="13.8" thickBot="1" x14ac:dyDescent="0.3">
      <c r="A44" s="19" t="s">
        <v>166</v>
      </c>
      <c r="B44" s="19"/>
      <c r="C44" s="19" t="s">
        <v>174</v>
      </c>
      <c r="D44" s="20"/>
      <c r="E44" s="22" t="str">
        <f>"Lane-"&amp;IF(Units="US CUSTOMARY","miles","kilometers")</f>
        <v>Lane-miles</v>
      </c>
      <c r="F44" s="22"/>
      <c r="G44" s="21"/>
      <c r="H44" s="21"/>
      <c r="I44" s="21"/>
      <c r="J44" s="21" t="s">
        <v>1</v>
      </c>
    </row>
    <row r="45" spans="1:10" ht="13.8" thickTop="1" x14ac:dyDescent="0.25">
      <c r="A45" s="291"/>
      <c r="B45" s="23"/>
      <c r="C45" s="291"/>
      <c r="D45" s="7"/>
      <c r="E45" s="5"/>
      <c r="F45" s="33"/>
      <c r="G45" s="26"/>
      <c r="H45" s="26"/>
      <c r="I45" s="26"/>
      <c r="J45" s="26" t="str">
        <f>IF(ISNUMBER(E45),(IF(Units="US CUSTOMARY",40000,24800)*(1.05-1)*E45),"-")</f>
        <v>-</v>
      </c>
    </row>
    <row r="46" spans="1:10" ht="6" customHeight="1" x14ac:dyDescent="0.25">
      <c r="A46" s="350"/>
      <c r="B46" s="23"/>
      <c r="C46" s="350"/>
      <c r="D46" s="7"/>
      <c r="E46" s="33"/>
      <c r="F46" s="33"/>
      <c r="G46" s="26"/>
      <c r="H46" s="26"/>
      <c r="I46" s="26"/>
      <c r="J46" s="26"/>
    </row>
    <row r="47" spans="1:10" x14ac:dyDescent="0.25">
      <c r="A47" s="291"/>
      <c r="B47" s="23"/>
      <c r="C47" s="291"/>
      <c r="D47" s="7"/>
      <c r="E47" s="5"/>
      <c r="F47" s="33"/>
      <c r="G47" s="26"/>
      <c r="H47" s="26"/>
      <c r="I47" s="26"/>
      <c r="J47" s="26" t="str">
        <f>IF(ISNUMBER(E47),(IF(Units="US CUSTOMARY",40000,24800)*(1.05-1)*E47),"-")</f>
        <v>-</v>
      </c>
    </row>
    <row r="48" spans="1:10" ht="7.2" customHeight="1" x14ac:dyDescent="0.25">
      <c r="A48" s="350"/>
      <c r="B48" s="23"/>
      <c r="C48" s="350"/>
      <c r="D48" s="7"/>
      <c r="E48" s="297"/>
      <c r="F48" s="33"/>
      <c r="G48" s="26"/>
      <c r="H48" s="26"/>
      <c r="I48" s="26"/>
      <c r="J48" s="26"/>
    </row>
    <row r="49" spans="1:10" x14ac:dyDescent="0.25">
      <c r="A49" s="291"/>
      <c r="B49" s="23"/>
      <c r="C49" s="291"/>
      <c r="D49" s="7"/>
      <c r="E49" s="5"/>
      <c r="F49" s="33"/>
      <c r="G49" s="26"/>
      <c r="H49" s="26"/>
      <c r="I49" s="26"/>
      <c r="J49" s="26" t="str">
        <f>IF(ISNUMBER(E49),(IF(Units="US CUSTOMARY",40000,24800)*(1.05-1)*E49),"-")</f>
        <v>-</v>
      </c>
    </row>
    <row r="50" spans="1:10" x14ac:dyDescent="0.25">
      <c r="A50" s="23"/>
      <c r="B50" s="23"/>
      <c r="C50" s="7"/>
      <c r="D50" s="7"/>
      <c r="E50" s="33"/>
      <c r="F50" s="33"/>
      <c r="G50" s="26"/>
      <c r="H50" s="26"/>
      <c r="I50" s="26"/>
      <c r="J50" s="26"/>
    </row>
    <row r="51" spans="1:10" x14ac:dyDescent="0.25">
      <c r="A51" s="386" t="s">
        <v>8</v>
      </c>
      <c r="B51" s="386"/>
      <c r="C51" s="386"/>
      <c r="D51" s="386"/>
      <c r="E51" s="386"/>
      <c r="F51" s="386"/>
      <c r="G51" s="386"/>
      <c r="H51" s="386"/>
      <c r="I51" s="363"/>
      <c r="J51" s="34">
        <f>SUM(J45,J47,J49)</f>
        <v>0</v>
      </c>
    </row>
    <row r="52" spans="1:10" x14ac:dyDescent="0.25">
      <c r="A52" s="7"/>
      <c r="B52" s="7"/>
      <c r="C52" s="290"/>
      <c r="D52" s="7"/>
      <c r="E52" s="8"/>
      <c r="F52" s="8"/>
      <c r="G52" s="9"/>
      <c r="H52" s="35"/>
      <c r="I52" s="35"/>
      <c r="J52" s="36"/>
    </row>
    <row r="53" spans="1:10" x14ac:dyDescent="0.25">
      <c r="A53" s="39" t="s">
        <v>10</v>
      </c>
      <c r="B53" s="39"/>
      <c r="C53" s="40" t="s">
        <v>313</v>
      </c>
      <c r="D53" s="7"/>
      <c r="E53" s="8"/>
      <c r="F53" s="8"/>
      <c r="G53" s="9"/>
      <c r="H53" s="35"/>
      <c r="I53" s="35"/>
      <c r="J53" s="36"/>
    </row>
    <row r="54" spans="1:10" x14ac:dyDescent="0.25">
      <c r="A54" s="40"/>
      <c r="B54" s="40"/>
      <c r="C54" s="40" t="s">
        <v>11</v>
      </c>
      <c r="D54" s="7"/>
      <c r="E54" s="8"/>
      <c r="F54" s="8"/>
      <c r="G54" s="9"/>
      <c r="H54" s="9"/>
      <c r="I54" s="9"/>
      <c r="J54" s="9"/>
    </row>
    <row r="55" spans="1:10" ht="20.399999999999999" x14ac:dyDescent="0.25">
      <c r="A55" s="40"/>
      <c r="B55" s="40"/>
      <c r="C55" s="319" t="str">
        <f>"Use if item quantity is equal or greater than "&amp;IF(Units="US CUSTOMARY","3,000 tons for aggregate base/aggregate surface course, and 40,000 sqyd for open graded asphalt friction course/chip seal for each separate pay item.","2,722 tonnes for aggregate base/aggregate surface course and 33,445 m2 for chip seal for each separate pay item. If the quantity is in m2 for aggregate base/aggregate surface course, convert it to tonnes")</f>
        <v>Use if item quantity is equal or greater than 3,000 tons for aggregate base/aggregate surface course, and 40,000 sqyd for open graded asphalt friction course/chip seal for each separate pay item.</v>
      </c>
      <c r="D55" s="340"/>
      <c r="E55" s="341"/>
      <c r="F55" s="341"/>
      <c r="G55" s="342"/>
      <c r="H55" s="342"/>
      <c r="I55" s="342"/>
      <c r="J55" s="342"/>
    </row>
    <row r="56" spans="1:10" x14ac:dyDescent="0.25">
      <c r="A56" s="39" t="s">
        <v>12</v>
      </c>
      <c r="B56" s="39"/>
      <c r="C56" s="40" t="s">
        <v>314</v>
      </c>
      <c r="D56" s="40"/>
      <c r="E56" s="8"/>
      <c r="F56" s="8"/>
      <c r="G56" s="9"/>
      <c r="H56" s="9"/>
      <c r="I56" s="9"/>
      <c r="J56" s="9"/>
    </row>
    <row r="57" spans="1:10" x14ac:dyDescent="0.25">
      <c r="A57" s="40"/>
      <c r="B57" s="40"/>
      <c r="C57" s="40" t="s">
        <v>11</v>
      </c>
      <c r="D57" s="40"/>
      <c r="E57" s="8"/>
      <c r="F57" s="8"/>
      <c r="G57" s="9"/>
      <c r="H57" s="9"/>
      <c r="I57" s="9"/>
      <c r="J57" s="9"/>
    </row>
    <row r="58" spans="1:10" x14ac:dyDescent="0.25">
      <c r="A58" s="40"/>
      <c r="B58" s="40"/>
      <c r="C58" s="290" t="str">
        <f>"Use if item quantity is equal or greater than "&amp;IF(Units="US CUSTOMARY","2,100 tons for asphalt concrete pavement for each separate pay item.","1,905 tonnes for asphalt concrete pavement for each separate pay item.")</f>
        <v>Use if item quantity is equal or greater than 2,100 tons for asphalt concrete pavement for each separate pay item.</v>
      </c>
      <c r="D58" s="290"/>
      <c r="E58" s="8"/>
      <c r="F58" s="8"/>
      <c r="G58" s="9"/>
      <c r="H58" s="9"/>
      <c r="I58" s="9"/>
      <c r="J58" s="9"/>
    </row>
    <row r="59" spans="1:10" x14ac:dyDescent="0.25">
      <c r="A59" s="39" t="s">
        <v>13</v>
      </c>
      <c r="B59" s="39"/>
      <c r="C59" s="40" t="str">
        <f>"Incentive Amt = (Lane-"&amp;IF(Units="US CUSTOMARY","miles","kilometers")&amp;" x "&amp;IF(Units="US CUSTOMARY","40,000 x 0.05)","24,800 x 0.05)")</f>
        <v>Incentive Amt = (Lane-miles x 40,000 x 0.05)</v>
      </c>
      <c r="D59" s="40"/>
      <c r="E59" s="8"/>
      <c r="F59" s="8"/>
      <c r="G59" s="9"/>
      <c r="H59" s="9"/>
      <c r="I59" s="9"/>
      <c r="J59" s="9"/>
    </row>
    <row r="60" spans="1:10" x14ac:dyDescent="0.25">
      <c r="A60" s="39"/>
      <c r="B60" s="39"/>
      <c r="C60" s="310" t="str">
        <f>"Use if roadway has "&amp;IF(Units="US CUSTOMARY","0.1 ","0.15 ")&amp;""&amp;IF(Units="US CUSTOMARY","LANE MILES of continuous paving (turning lanes, passing lanes, side roads, and ramps less than ","lane-km of continuous paving (turning lanes, passing lanes, side roads, and ramps less than ") &amp;IF(Units="US CUSTOMARY","1000 feet are not","300 meters are not")</f>
        <v>Use if roadway has 0.1 LANE MILES of continuous paving (turning lanes, passing lanes, side roads, and ramps less than 1000 feet are not</v>
      </c>
      <c r="D60" s="314"/>
      <c r="E60" s="315"/>
      <c r="F60" s="315"/>
      <c r="G60" s="316"/>
      <c r="H60" s="316"/>
      <c r="I60" s="316"/>
      <c r="J60" s="316"/>
    </row>
    <row r="61" spans="1:10" x14ac:dyDescent="0.25">
      <c r="A61" s="39"/>
      <c r="B61" s="39"/>
      <c r="C61" s="310" t="s">
        <v>178</v>
      </c>
      <c r="D61" s="311"/>
      <c r="E61" s="312"/>
      <c r="F61" s="312"/>
      <c r="G61" s="313"/>
      <c r="H61" s="313"/>
      <c r="I61" s="313"/>
      <c r="J61" s="313"/>
    </row>
    <row r="62" spans="1:10" x14ac:dyDescent="0.25">
      <c r="A62" s="39"/>
      <c r="B62" s="39"/>
      <c r="C62" s="310" t="s">
        <v>180</v>
      </c>
      <c r="D62" s="311"/>
      <c r="E62" s="312"/>
      <c r="F62" s="312"/>
      <c r="G62" s="313"/>
      <c r="H62" s="313"/>
      <c r="I62" s="313"/>
      <c r="J62" s="313"/>
    </row>
    <row r="63" spans="1:10" x14ac:dyDescent="0.25">
      <c r="A63" s="39"/>
      <c r="B63" s="39"/>
      <c r="C63" s="310" t="s">
        <v>179</v>
      </c>
      <c r="D63" s="311"/>
      <c r="E63" s="312"/>
      <c r="F63" s="312"/>
      <c r="G63" s="313"/>
      <c r="H63" s="313"/>
      <c r="I63" s="313"/>
      <c r="J63" s="313"/>
    </row>
    <row r="64" spans="1:10" x14ac:dyDescent="0.25">
      <c r="A64" s="39" t="str">
        <f>IF(FP="FP-03","","Note 4: ")</f>
        <v xml:space="preserve">Note 4: </v>
      </c>
      <c r="B64" s="39"/>
      <c r="C64" s="301" t="s">
        <v>317</v>
      </c>
      <c r="D64" s="40"/>
      <c r="E64" s="8"/>
      <c r="F64" s="8"/>
      <c r="G64" s="9"/>
      <c r="H64" s="9"/>
      <c r="I64" s="9"/>
      <c r="J64" s="9"/>
    </row>
    <row r="65" spans="1:10" x14ac:dyDescent="0.25">
      <c r="A65" s="39" t="s">
        <v>181</v>
      </c>
      <c r="B65" s="39"/>
      <c r="C65" s="301" t="s">
        <v>316</v>
      </c>
      <c r="D65" s="40"/>
      <c r="E65" s="8"/>
      <c r="F65" s="8"/>
      <c r="G65" s="9"/>
      <c r="H65" s="9"/>
      <c r="I65" s="9"/>
      <c r="J65" s="9"/>
    </row>
    <row r="66" spans="1:10" x14ac:dyDescent="0.25">
      <c r="A66" s="39"/>
      <c r="B66" s="39"/>
      <c r="C66" s="301"/>
      <c r="D66" s="40"/>
      <c r="E66" s="8"/>
      <c r="F66" s="8"/>
      <c r="G66" s="9"/>
      <c r="H66" s="9"/>
      <c r="I66" s="9"/>
      <c r="J66" s="9"/>
    </row>
    <row r="67" spans="1:10" x14ac:dyDescent="0.25">
      <c r="A67" s="39"/>
      <c r="B67" s="39"/>
      <c r="C67" s="290"/>
      <c r="D67" s="40"/>
      <c r="E67" s="8"/>
      <c r="F67" s="8"/>
      <c r="G67" s="9"/>
      <c r="H67" s="9"/>
      <c r="I67" s="9"/>
      <c r="J67" s="302" t="str">
        <f>Instructions!M10</f>
        <v>EFL-TM-ESS-01(10)</v>
      </c>
    </row>
    <row r="68" spans="1:10" ht="41.4" x14ac:dyDescent="0.25">
      <c r="A68" s="317" t="s">
        <v>432</v>
      </c>
      <c r="B68" s="318"/>
      <c r="C68" s="319"/>
      <c r="D68" s="318"/>
      <c r="E68" s="320"/>
      <c r="F68" s="320"/>
      <c r="G68" s="321"/>
      <c r="H68" s="321"/>
      <c r="I68" s="321"/>
      <c r="J68" s="322"/>
    </row>
    <row r="69" spans="1:10" ht="17.399999999999999" x14ac:dyDescent="0.3">
      <c r="A69" s="388" t="s">
        <v>164</v>
      </c>
      <c r="B69" s="388"/>
      <c r="C69" s="388"/>
      <c r="D69" s="388"/>
      <c r="E69" s="388"/>
      <c r="F69" s="388"/>
      <c r="G69" s="388"/>
      <c r="H69" s="388"/>
      <c r="I69" s="388"/>
      <c r="J69" s="388"/>
    </row>
    <row r="70" spans="1:10" x14ac:dyDescent="0.25">
      <c r="A70" s="7"/>
      <c r="B70" s="7"/>
      <c r="C70" s="7"/>
      <c r="D70" s="11" t="s">
        <v>14</v>
      </c>
      <c r="E70" s="12" t="str">
        <f>IF(FP="FP-03","FP-03","FP-14")</f>
        <v>FP-14</v>
      </c>
      <c r="F70" s="8"/>
      <c r="G70" s="9"/>
      <c r="H70" s="9"/>
      <c r="I70" s="9"/>
      <c r="J70" s="9"/>
    </row>
    <row r="71" spans="1:10" x14ac:dyDescent="0.25">
      <c r="A71" s="7"/>
      <c r="B71" s="7"/>
      <c r="C71" s="7"/>
      <c r="D71" s="7"/>
      <c r="E71" s="10"/>
      <c r="F71" s="8"/>
      <c r="G71" s="9"/>
      <c r="H71" s="9"/>
      <c r="I71" s="9"/>
      <c r="J71" s="9"/>
    </row>
    <row r="72" spans="1:10" x14ac:dyDescent="0.25">
      <c r="A72" s="11" t="s">
        <v>2</v>
      </c>
      <c r="B72" s="11"/>
      <c r="C72" s="362">
        <f>+C5</f>
        <v>0</v>
      </c>
      <c r="D72" s="362"/>
      <c r="E72" s="12"/>
      <c r="F72" s="12"/>
      <c r="G72" s="13"/>
      <c r="H72" s="14"/>
      <c r="I72" s="14" t="s">
        <v>4</v>
      </c>
      <c r="J72" s="15">
        <f ca="1" xml:space="preserve"> TODAY()</f>
        <v>44474</v>
      </c>
    </row>
    <row r="73" spans="1:10" ht="4.5" customHeight="1" x14ac:dyDescent="0.25">
      <c r="A73" s="11"/>
      <c r="B73" s="11"/>
      <c r="C73" s="362"/>
      <c r="D73" s="362"/>
      <c r="E73" s="12"/>
      <c r="F73" s="12"/>
      <c r="G73" s="13"/>
      <c r="H73" s="14"/>
      <c r="I73" s="14"/>
      <c r="J73" s="15"/>
    </row>
    <row r="74" spans="1:10" x14ac:dyDescent="0.25">
      <c r="A74" s="11" t="s">
        <v>3</v>
      </c>
      <c r="B74" s="11"/>
      <c r="C74" s="389">
        <f>+C7</f>
        <v>0</v>
      </c>
      <c r="D74" s="389"/>
      <c r="E74" s="389"/>
      <c r="F74" s="389"/>
      <c r="G74" s="389"/>
      <c r="H74" s="14"/>
      <c r="I74" s="14" t="str">
        <f>+I7</f>
        <v xml:space="preserve">Option: </v>
      </c>
      <c r="J74" s="17" t="str">
        <f>+J7</f>
        <v>D</v>
      </c>
    </row>
    <row r="75" spans="1:10" x14ac:dyDescent="0.25">
      <c r="A75" s="7"/>
      <c r="B75" s="7"/>
      <c r="C75" s="7"/>
      <c r="D75" s="7"/>
      <c r="E75" s="8"/>
      <c r="F75" s="8"/>
      <c r="G75" s="9"/>
      <c r="H75" s="14"/>
      <c r="I75" s="14" t="s">
        <v>6</v>
      </c>
      <c r="J75" s="13" t="str">
        <f>+Units</f>
        <v>US CUSTOMARY</v>
      </c>
    </row>
    <row r="76" spans="1:10" ht="6.75" customHeight="1" thickBot="1" x14ac:dyDescent="0.3">
      <c r="A76" s="7"/>
      <c r="B76" s="7"/>
      <c r="C76" s="7"/>
      <c r="D76" s="7"/>
      <c r="E76" s="8"/>
      <c r="F76" s="8"/>
      <c r="G76" s="9"/>
      <c r="H76" s="14"/>
      <c r="I76" s="14"/>
      <c r="J76" s="13"/>
    </row>
    <row r="77" spans="1:10" ht="19.5" customHeight="1" thickBot="1" x14ac:dyDescent="0.3">
      <c r="A77" s="230" t="s">
        <v>21</v>
      </c>
      <c r="B77" s="292"/>
      <c r="C77" s="231"/>
      <c r="D77" s="231"/>
      <c r="E77" s="231"/>
      <c r="F77" s="231"/>
      <c r="G77" s="231"/>
      <c r="H77" s="231"/>
      <c r="I77" s="231"/>
      <c r="J77" s="232"/>
    </row>
    <row r="78" spans="1:10" ht="5.25" customHeight="1" x14ac:dyDescent="0.25">
      <c r="A78" s="18"/>
      <c r="B78" s="18"/>
      <c r="C78" s="43"/>
      <c r="D78" s="43"/>
      <c r="E78" s="44"/>
      <c r="F78" s="45"/>
      <c r="G78" s="44"/>
      <c r="H78" s="44"/>
      <c r="I78" s="44"/>
      <c r="J78" s="44"/>
    </row>
    <row r="79" spans="1:10" x14ac:dyDescent="0.25">
      <c r="A79" s="56" t="s">
        <v>17</v>
      </c>
      <c r="B79" s="293"/>
      <c r="C79" s="57"/>
      <c r="D79" s="58" t="s">
        <v>77</v>
      </c>
      <c r="E79" s="59" t="str">
        <f>IF(Units="US CUSTOMARY"," CUYD"," m3")</f>
        <v xml:space="preserve"> CUYD</v>
      </c>
      <c r="F79" s="60"/>
      <c r="G79" s="61" t="s">
        <v>20</v>
      </c>
      <c r="H79" s="44"/>
      <c r="I79" s="44"/>
      <c r="J79" s="44"/>
    </row>
    <row r="80" spans="1:10" x14ac:dyDescent="0.25">
      <c r="A80" s="188">
        <v>20401</v>
      </c>
      <c r="B80" s="188"/>
      <c r="C80" s="189" t="s">
        <v>18</v>
      </c>
      <c r="D80" s="395">
        <f>IF(Units="US Customary", 0.3, 0.39)</f>
        <v>0.3</v>
      </c>
      <c r="E80" s="191"/>
      <c r="F80" s="192"/>
      <c r="G80" s="209" t="str">
        <f>IF(ISNUMBER(E80),+D$80*E80, "-")</f>
        <v>-</v>
      </c>
      <c r="H80" s="26"/>
      <c r="I80" s="26"/>
      <c r="J80" s="26"/>
    </row>
    <row r="81" spans="1:10" x14ac:dyDescent="0.25">
      <c r="A81" s="188">
        <v>20402</v>
      </c>
      <c r="B81" s="188"/>
      <c r="C81" s="189" t="s">
        <v>23</v>
      </c>
      <c r="D81" s="396"/>
      <c r="E81" s="191"/>
      <c r="F81" s="192"/>
      <c r="G81" s="209" t="str">
        <f t="shared" ref="G81:G89" si="0">IF(ISNUMBER(E81),+D$80*E81, "-")</f>
        <v>-</v>
      </c>
      <c r="H81" s="26"/>
      <c r="I81" s="26"/>
      <c r="J81" s="26"/>
    </row>
    <row r="82" spans="1:10" x14ac:dyDescent="0.25">
      <c r="A82" s="188">
        <v>20403</v>
      </c>
      <c r="B82" s="188"/>
      <c r="C82" s="189" t="s">
        <v>19</v>
      </c>
      <c r="D82" s="396"/>
      <c r="E82" s="191"/>
      <c r="F82" s="192"/>
      <c r="G82" s="209" t="str">
        <f t="shared" si="0"/>
        <v>-</v>
      </c>
      <c r="H82" s="26"/>
      <c r="I82" s="26"/>
      <c r="J82" s="26"/>
    </row>
    <row r="83" spans="1:10" x14ac:dyDescent="0.25">
      <c r="A83" s="188">
        <v>20404</v>
      </c>
      <c r="B83" s="188"/>
      <c r="C83" s="190" t="s">
        <v>26</v>
      </c>
      <c r="D83" s="396"/>
      <c r="E83" s="191"/>
      <c r="F83" s="192"/>
      <c r="G83" s="209" t="str">
        <f t="shared" si="0"/>
        <v>-</v>
      </c>
      <c r="H83" s="26"/>
      <c r="I83" s="26"/>
      <c r="J83" s="26"/>
    </row>
    <row r="84" spans="1:10" x14ac:dyDescent="0.25">
      <c r="A84" s="188">
        <v>20410</v>
      </c>
      <c r="B84" s="188"/>
      <c r="C84" s="190" t="s">
        <v>22</v>
      </c>
      <c r="D84" s="396"/>
      <c r="E84" s="191"/>
      <c r="F84" s="192"/>
      <c r="G84" s="209" t="str">
        <f t="shared" si="0"/>
        <v>-</v>
      </c>
      <c r="H84" s="26"/>
      <c r="I84" s="26"/>
      <c r="J84" s="26"/>
    </row>
    <row r="85" spans="1:10" x14ac:dyDescent="0.25">
      <c r="A85" s="188">
        <v>20411</v>
      </c>
      <c r="B85" s="188"/>
      <c r="C85" s="190" t="s">
        <v>27</v>
      </c>
      <c r="D85" s="396"/>
      <c r="E85" s="191"/>
      <c r="F85" s="192"/>
      <c r="G85" s="209" t="str">
        <f t="shared" si="0"/>
        <v>-</v>
      </c>
      <c r="H85" s="26"/>
      <c r="I85" s="26"/>
      <c r="J85" s="26"/>
    </row>
    <row r="86" spans="1:10" x14ac:dyDescent="0.25">
      <c r="A86" s="188">
        <v>20415</v>
      </c>
      <c r="B86" s="188"/>
      <c r="C86" s="190" t="s">
        <v>24</v>
      </c>
      <c r="D86" s="396"/>
      <c r="E86" s="191"/>
      <c r="F86" s="192"/>
      <c r="G86" s="209" t="str">
        <f t="shared" si="0"/>
        <v>-</v>
      </c>
      <c r="H86" s="26"/>
      <c r="I86" s="26"/>
      <c r="J86" s="26"/>
    </row>
    <row r="87" spans="1:10" x14ac:dyDescent="0.25">
      <c r="A87" s="188">
        <v>20416</v>
      </c>
      <c r="B87" s="188"/>
      <c r="C87" s="190" t="s">
        <v>28</v>
      </c>
      <c r="D87" s="396"/>
      <c r="E87" s="191"/>
      <c r="F87" s="192"/>
      <c r="G87" s="209" t="str">
        <f t="shared" si="0"/>
        <v>-</v>
      </c>
      <c r="H87" s="26"/>
      <c r="I87" s="26"/>
      <c r="J87" s="26"/>
    </row>
    <row r="88" spans="1:10" x14ac:dyDescent="0.25">
      <c r="A88" s="188">
        <v>20420</v>
      </c>
      <c r="B88" s="188"/>
      <c r="C88" s="190" t="s">
        <v>124</v>
      </c>
      <c r="D88" s="396"/>
      <c r="E88" s="191"/>
      <c r="F88" s="192"/>
      <c r="G88" s="209" t="str">
        <f t="shared" si="0"/>
        <v>-</v>
      </c>
      <c r="H88" s="26"/>
      <c r="I88" s="26"/>
      <c r="J88" s="26"/>
    </row>
    <row r="89" spans="1:10" x14ac:dyDescent="0.25">
      <c r="A89" s="188">
        <v>20421</v>
      </c>
      <c r="B89" s="188"/>
      <c r="C89" s="190" t="s">
        <v>25</v>
      </c>
      <c r="D89" s="396"/>
      <c r="E89" s="191"/>
      <c r="F89" s="192"/>
      <c r="G89" s="209" t="str">
        <f t="shared" si="0"/>
        <v>-</v>
      </c>
      <c r="H89" s="26"/>
      <c r="I89" s="26"/>
      <c r="J89" s="26"/>
    </row>
    <row r="90" spans="1:10" x14ac:dyDescent="0.25">
      <c r="A90" s="62" t="s">
        <v>33</v>
      </c>
      <c r="B90" s="294"/>
      <c r="C90" s="63"/>
      <c r="D90" s="58" t="s">
        <v>77</v>
      </c>
      <c r="E90" s="59" t="str">
        <f>IF(Units="US CUSTOMARY"," Tons"," tonnes")</f>
        <v xml:space="preserve"> Tons</v>
      </c>
      <c r="F90" s="60"/>
      <c r="G90" s="61" t="s">
        <v>20</v>
      </c>
      <c r="H90" s="26"/>
      <c r="I90" s="26"/>
      <c r="J90" s="26"/>
    </row>
    <row r="91" spans="1:10" x14ac:dyDescent="0.25">
      <c r="A91" s="188">
        <v>30101</v>
      </c>
      <c r="B91" s="188"/>
      <c r="C91" s="190" t="s">
        <v>29</v>
      </c>
      <c r="D91" s="397">
        <f>IF(Units="US Customary", 0.7, 0.77)</f>
        <v>0.7</v>
      </c>
      <c r="E91" s="191"/>
      <c r="F91" s="192"/>
      <c r="G91" s="209" t="str">
        <f>IF(ISNUMBER(E91),+D$91*E91, "-")</f>
        <v>-</v>
      </c>
      <c r="H91" s="26"/>
      <c r="I91" s="26"/>
      <c r="J91" s="26"/>
    </row>
    <row r="92" spans="1:10" x14ac:dyDescent="0.25">
      <c r="A92" s="188">
        <v>30102</v>
      </c>
      <c r="B92" s="188"/>
      <c r="C92" s="190" t="s">
        <v>30</v>
      </c>
      <c r="D92" s="398"/>
      <c r="E92" s="191"/>
      <c r="F92" s="192"/>
      <c r="G92" s="209" t="str">
        <f t="shared" ref="G92:G99" si="1">IF(ISNUMBER(E92),+D$91*E92, "-")</f>
        <v>-</v>
      </c>
      <c r="H92" s="26"/>
      <c r="I92" s="26"/>
      <c r="J92" s="26"/>
    </row>
    <row r="93" spans="1:10" x14ac:dyDescent="0.25">
      <c r="A93" s="188">
        <v>30103</v>
      </c>
      <c r="B93" s="188"/>
      <c r="C93" s="190" t="s">
        <v>30</v>
      </c>
      <c r="D93" s="398"/>
      <c r="E93" s="191"/>
      <c r="F93" s="192"/>
      <c r="G93" s="209" t="str">
        <f t="shared" si="1"/>
        <v>-</v>
      </c>
      <c r="H93" s="26"/>
      <c r="I93" s="26"/>
      <c r="J93" s="26"/>
    </row>
    <row r="94" spans="1:10" x14ac:dyDescent="0.25">
      <c r="A94" s="236">
        <v>30105</v>
      </c>
      <c r="B94" s="236"/>
      <c r="C94" s="237" t="s">
        <v>31</v>
      </c>
      <c r="D94" s="398"/>
      <c r="E94" s="191"/>
      <c r="F94" s="192"/>
      <c r="G94" s="209" t="str">
        <f t="shared" si="1"/>
        <v>-</v>
      </c>
      <c r="H94" s="26"/>
      <c r="I94" s="26"/>
      <c r="J94" s="26"/>
    </row>
    <row r="95" spans="1:10" x14ac:dyDescent="0.25">
      <c r="A95" s="236">
        <v>30106</v>
      </c>
      <c r="B95" s="236"/>
      <c r="C95" s="237" t="s">
        <v>32</v>
      </c>
      <c r="D95" s="398"/>
      <c r="E95" s="191"/>
      <c r="F95" s="192"/>
      <c r="G95" s="209" t="str">
        <f t="shared" si="1"/>
        <v>-</v>
      </c>
      <c r="H95" s="26"/>
      <c r="I95" s="26"/>
      <c r="J95" s="26"/>
    </row>
    <row r="96" spans="1:10" x14ac:dyDescent="0.25">
      <c r="A96" s="236">
        <v>30107</v>
      </c>
      <c r="B96" s="236"/>
      <c r="C96" s="237" t="s">
        <v>32</v>
      </c>
      <c r="D96" s="398"/>
      <c r="E96" s="191"/>
      <c r="F96" s="192"/>
      <c r="G96" s="209" t="str">
        <f t="shared" si="1"/>
        <v>-</v>
      </c>
      <c r="H96" s="26"/>
      <c r="I96" s="26"/>
      <c r="J96" s="26"/>
    </row>
    <row r="97" spans="1:10" x14ac:dyDescent="0.25">
      <c r="A97" s="236">
        <v>30110</v>
      </c>
      <c r="B97" s="236"/>
      <c r="C97" s="237" t="s">
        <v>125</v>
      </c>
      <c r="D97" s="398"/>
      <c r="E97" s="191"/>
      <c r="F97" s="192"/>
      <c r="G97" s="209" t="str">
        <f t="shared" si="1"/>
        <v>-</v>
      </c>
      <c r="H97" s="26"/>
      <c r="I97" s="26"/>
      <c r="J97" s="26"/>
    </row>
    <row r="98" spans="1:10" x14ac:dyDescent="0.25">
      <c r="A98" s="236">
        <v>30111</v>
      </c>
      <c r="B98" s="236"/>
      <c r="C98" s="237" t="s">
        <v>126</v>
      </c>
      <c r="D98" s="398"/>
      <c r="E98" s="191"/>
      <c r="F98" s="192"/>
      <c r="G98" s="209" t="str">
        <f t="shared" si="1"/>
        <v>-</v>
      </c>
      <c r="H98" s="26"/>
      <c r="I98" s="26"/>
      <c r="J98" s="26"/>
    </row>
    <row r="99" spans="1:10" x14ac:dyDescent="0.25">
      <c r="A99" s="236">
        <v>30112</v>
      </c>
      <c r="B99" s="236"/>
      <c r="C99" s="237" t="s">
        <v>126</v>
      </c>
      <c r="D99" s="398"/>
      <c r="E99" s="191"/>
      <c r="F99" s="192"/>
      <c r="G99" s="209" t="str">
        <f t="shared" si="1"/>
        <v>-</v>
      </c>
      <c r="H99" s="26"/>
      <c r="I99" s="26"/>
      <c r="J99" s="26"/>
    </row>
    <row r="100" spans="1:10" x14ac:dyDescent="0.25">
      <c r="A100" s="62" t="str">
        <f>IF(FP="FP-03","Section 302 - Untreated Aggregate Courses","Section 305 - Full Depth reclamation (FDR) with Cement")</f>
        <v>Section 305 - Full Depth reclamation (FDR) with Cement</v>
      </c>
      <c r="B100" s="294"/>
      <c r="C100" s="63"/>
      <c r="D100" s="58" t="s">
        <v>77</v>
      </c>
      <c r="E100" s="59" t="str">
        <f>IF(Units="US CUSTOMARY",(VLOOKUP(A102,'VLookup table'!A1:E6,4)),(VLOOKUP(A102,'VLookup table'!A1:E6,5)))</f>
        <v>SQYD</v>
      </c>
      <c r="F100" s="64"/>
      <c r="G100" s="61" t="s">
        <v>20</v>
      </c>
      <c r="H100" s="26"/>
      <c r="I100" s="26"/>
      <c r="J100" s="26"/>
    </row>
    <row r="101" spans="1:10" x14ac:dyDescent="0.25">
      <c r="A101" s="188" t="str">
        <f>IF(FP="FP-03","30201","30501")</f>
        <v>30501</v>
      </c>
      <c r="B101" s="188"/>
      <c r="C101" s="189" t="str">
        <f>IF(FP="FP-03","Treated aggregate course","FDR with cement*")</f>
        <v>FDR with cement*</v>
      </c>
      <c r="D101" s="398">
        <f>IF(Units="US CUSTOMARY",(VLOOKUP(A102,'VLookup table'!A2:G8,6)),(VLOOKUP(A102,'VLookup table'!A2:G8,7)))</f>
        <v>0.3</v>
      </c>
      <c r="E101" s="191"/>
      <c r="F101" s="192"/>
      <c r="G101" s="209" t="str">
        <f>IF(ISNUMBER(E101),+D$101*E101, "-")</f>
        <v>-</v>
      </c>
      <c r="H101" s="26"/>
      <c r="I101" s="26"/>
      <c r="J101" s="26"/>
    </row>
    <row r="102" spans="1:10" x14ac:dyDescent="0.25">
      <c r="A102" s="188" t="str">
        <f>IF(FP="FP-03","30202","30502")</f>
        <v>30502</v>
      </c>
      <c r="B102" s="188"/>
      <c r="C102" s="189" t="str">
        <f>IF(FP="FP-03","Treated aggregate course*","FDR with cement")</f>
        <v>FDR with cement</v>
      </c>
      <c r="D102" s="398"/>
      <c r="E102" s="191"/>
      <c r="F102" s="192"/>
      <c r="G102" s="209" t="str">
        <f>IF(ISNUMBER(E102),+D$101*E102, "-")</f>
        <v>-</v>
      </c>
      <c r="H102" s="26"/>
      <c r="I102" s="26"/>
      <c r="J102" s="26"/>
    </row>
    <row r="103" spans="1:10" x14ac:dyDescent="0.25">
      <c r="A103" s="62" t="str">
        <f>IF(FP="FP-03","Section 304 - Aggregate Stabilization","Section 306 - Full Depth Reclamation (FDR) with Asphalt")</f>
        <v>Section 306 - Full Depth Reclamation (FDR) with Asphalt</v>
      </c>
      <c r="B103" s="294"/>
      <c r="C103" s="65"/>
      <c r="D103" s="58" t="s">
        <v>77</v>
      </c>
      <c r="E103" s="59" t="str">
        <f>IF(Units="US CUSTOMARY",(VLOOKUP(A105,'VLookup table'!A7:E17,4)),(VLOOKUP(A105,'VLookup table'!A7:E17,5)))</f>
        <v>SQYD</v>
      </c>
      <c r="F103" s="64"/>
      <c r="G103" s="61" t="s">
        <v>20</v>
      </c>
      <c r="H103" s="26"/>
      <c r="I103" s="26"/>
      <c r="J103" s="26"/>
    </row>
    <row r="104" spans="1:10" x14ac:dyDescent="0.25">
      <c r="A104" s="188" t="str">
        <f>IF(FP="FP-03","30401","30601")</f>
        <v>30601</v>
      </c>
      <c r="B104" s="188"/>
      <c r="C104" s="193" t="str">
        <f>IF(FP="FP-03","Aggregate stabilzation imported aggregate","FDR with emulsified asphalt*")</f>
        <v>FDR with emulsified asphalt*</v>
      </c>
      <c r="D104" s="397">
        <f>IF(Units="US CUSTOMARY",(VLOOKUP(A105,'VLookup table'!A2:G8,6)),(VLOOKUP(A105,'VLookup table'!A2:G8,7)))</f>
        <v>0.3</v>
      </c>
      <c r="E104" s="191"/>
      <c r="F104" s="192"/>
      <c r="G104" s="209" t="str">
        <f>IF(ISNUMBER(E104),+D$104*E104, "-")</f>
        <v>-</v>
      </c>
      <c r="H104" s="73"/>
      <c r="I104" s="73"/>
      <c r="J104" s="26"/>
    </row>
    <row r="105" spans="1:10" x14ac:dyDescent="0.25">
      <c r="A105" s="188" t="str">
        <f>IF(FP="FP-03","30402","30602")</f>
        <v>30602</v>
      </c>
      <c r="B105" s="188"/>
      <c r="C105" s="193" t="str">
        <f>IF(FP="FP-03","Aggregate stabilzation imported aggregate*","FDR with emulsified asphalt")</f>
        <v>FDR with emulsified asphalt</v>
      </c>
      <c r="D105" s="398"/>
      <c r="E105" s="191"/>
      <c r="F105" s="192"/>
      <c r="G105" s="209" t="str">
        <f>IF(ISNUMBER(E105),+D$104*E105, "-")</f>
        <v>-</v>
      </c>
      <c r="H105" s="73"/>
      <c r="I105" s="73"/>
      <c r="J105" s="26"/>
    </row>
    <row r="106" spans="1:10" x14ac:dyDescent="0.25">
      <c r="A106" s="188" t="str">
        <f>IF(FP="FP-03","30405","30603")</f>
        <v>30603</v>
      </c>
      <c r="B106" s="188"/>
      <c r="C106" s="193" t="str">
        <f>IF(FP="FP-03","Aggregate stabilzation in-place aggregate*","FDR with foamed asphalt*")</f>
        <v>FDR with foamed asphalt*</v>
      </c>
      <c r="D106" s="398"/>
      <c r="E106" s="191"/>
      <c r="F106" s="192"/>
      <c r="G106" s="209" t="str">
        <f>IF(ISNUMBER(E106),+D$104*E106, "-")</f>
        <v>-</v>
      </c>
      <c r="H106" s="73"/>
      <c r="I106" s="73"/>
      <c r="J106" s="26"/>
    </row>
    <row r="107" spans="1:10" x14ac:dyDescent="0.25">
      <c r="A107" s="194" t="str">
        <f>IF(FP="FP-03","30410","30604")</f>
        <v>30604</v>
      </c>
      <c r="B107" s="194"/>
      <c r="C107" s="195" t="str">
        <f>IF(FP="FP-03","Aggregate stabilzation imported surface course*","FDR with foamed asphalt")</f>
        <v>FDR with foamed asphalt</v>
      </c>
      <c r="D107" s="398"/>
      <c r="E107" s="196"/>
      <c r="F107" s="197"/>
      <c r="G107" s="209" t="str">
        <f>IF(ISNUMBER(E107),+D$104*E107, "-")</f>
        <v>-</v>
      </c>
      <c r="H107" s="73"/>
      <c r="I107" s="73"/>
      <c r="J107" s="26"/>
    </row>
    <row r="108" spans="1:10" ht="22.5" customHeight="1" x14ac:dyDescent="0.25">
      <c r="A108" s="194" t="str">
        <f>IF(FP="FP-03","30411","")</f>
        <v/>
      </c>
      <c r="B108" s="194"/>
      <c r="C108" s="195" t="str">
        <f>IF(FP="FP-03","Aggregate stabilzation imported surface course*"," ")</f>
        <v xml:space="preserve"> </v>
      </c>
      <c r="D108" s="398"/>
      <c r="E108" s="196"/>
      <c r="F108" s="197"/>
      <c r="G108" s="209" t="str">
        <f>IF(ISNUMBER(E108),+D$104*E108, "-")</f>
        <v>-</v>
      </c>
      <c r="H108" s="73"/>
      <c r="I108" s="73"/>
      <c r="J108" s="26"/>
    </row>
    <row r="109" spans="1:10" x14ac:dyDescent="0.25">
      <c r="A109" s="62" t="s">
        <v>127</v>
      </c>
      <c r="B109" s="294"/>
      <c r="C109" s="65"/>
      <c r="D109" s="58" t="s">
        <v>77</v>
      </c>
      <c r="E109" s="59" t="str">
        <f>IF(Units="US CUSTOMARY"," Tons"," tonnes")</f>
        <v xml:space="preserve"> Tons</v>
      </c>
      <c r="F109" s="64"/>
      <c r="G109" s="66" t="s">
        <v>20</v>
      </c>
      <c r="H109" s="26"/>
      <c r="I109" s="26"/>
      <c r="J109" s="26"/>
    </row>
    <row r="110" spans="1:10" x14ac:dyDescent="0.25">
      <c r="A110" s="188">
        <v>30901</v>
      </c>
      <c r="B110" s="188"/>
      <c r="C110" s="238" t="s">
        <v>66</v>
      </c>
      <c r="D110" s="397">
        <f>IF(Units="US Customary", 0.7, 0.77)</f>
        <v>0.7</v>
      </c>
      <c r="E110" s="191"/>
      <c r="F110" s="192"/>
      <c r="G110" s="209" t="str">
        <f>IF(ISNUMBER(E110),+D$110*E110, "-")</f>
        <v>-</v>
      </c>
      <c r="H110" s="26"/>
      <c r="I110" s="26"/>
      <c r="J110" s="26"/>
    </row>
    <row r="111" spans="1:10" x14ac:dyDescent="0.25">
      <c r="A111" s="188">
        <v>30902</v>
      </c>
      <c r="B111" s="188"/>
      <c r="C111" s="238" t="s">
        <v>67</v>
      </c>
      <c r="D111" s="398"/>
      <c r="E111" s="191"/>
      <c r="F111" s="192"/>
      <c r="G111" s="209" t="str">
        <f>IF(ISNUMBER(E111),+D$110*E111, "-")</f>
        <v>-</v>
      </c>
      <c r="H111" s="26"/>
      <c r="I111" s="26"/>
      <c r="J111" s="26"/>
    </row>
    <row r="112" spans="1:10" x14ac:dyDescent="0.25">
      <c r="A112" s="188">
        <v>30903</v>
      </c>
      <c r="B112" s="188"/>
      <c r="C112" s="238" t="s">
        <v>67</v>
      </c>
      <c r="D112" s="398"/>
      <c r="E112" s="191"/>
      <c r="F112" s="192"/>
      <c r="G112" s="209" t="str">
        <f>IF(ISNUMBER(E112),+D$110*E112, "-")</f>
        <v>-</v>
      </c>
      <c r="H112" s="26"/>
      <c r="I112" s="26"/>
      <c r="J112" s="26"/>
    </row>
    <row r="113" spans="1:10" x14ac:dyDescent="0.25">
      <c r="A113" s="62" t="str">
        <f>IF(FP="FP-03","Section 401 - Superpave HACP","Section 310 - Cold In-Place (CIP) Recycled Asphalt Base")</f>
        <v>Section 310 - Cold In-Place (CIP) Recycled Asphalt Base</v>
      </c>
      <c r="B113" s="294"/>
      <c r="C113" s="57"/>
      <c r="D113" s="58" t="s">
        <v>77</v>
      </c>
      <c r="E113" s="81" t="str">
        <f>IF(Units="US CUSTOMARY", (VLOOKUP(A115,'VLookup table'!A18:G27,4)),(VLOOKUP(A115,'VLookup table'!A18:G27,5)))</f>
        <v>SQYD</v>
      </c>
      <c r="F113" s="64"/>
      <c r="G113" s="66" t="s">
        <v>20</v>
      </c>
      <c r="H113" s="83"/>
      <c r="I113" s="83"/>
      <c r="J113" s="26"/>
    </row>
    <row r="114" spans="1:10" x14ac:dyDescent="0.25">
      <c r="A114" s="188" t="str">
        <f>IF(FP="FP-03","40101","31001")</f>
        <v>31001</v>
      </c>
      <c r="B114" s="188"/>
      <c r="C114" s="189" t="str">
        <f>IF(FP="FP-03","Superpave pavement","CIP recycled ashalt base*")</f>
        <v>CIP recycled ashalt base*</v>
      </c>
      <c r="D114" s="398">
        <f>IF(Units="US CUSTOMARY",(VLOOKUP(A115,'VLookup table'!A18:G27,6)),(VLOOKUP(A115,'VLookup table'!A18:G27,7)))</f>
        <v>0.15</v>
      </c>
      <c r="E114" s="191"/>
      <c r="F114" s="192"/>
      <c r="G114" s="209" t="str">
        <f>IF(ISNUMBER(E114),+D$114*E114, "-")</f>
        <v>-</v>
      </c>
      <c r="H114" s="26"/>
      <c r="I114" s="26"/>
      <c r="J114" s="26"/>
    </row>
    <row r="115" spans="1:10" ht="22.5" customHeight="1" x14ac:dyDescent="0.25">
      <c r="A115" s="194" t="str">
        <f>IF(FP="FP-03","40102","31002")</f>
        <v>31002</v>
      </c>
      <c r="B115" s="194"/>
      <c r="C115" s="195" t="str">
        <f>IF(FP="FP-03","Superpave pavement wedge and levelling course","CIP recycled ashalt base")</f>
        <v>CIP recycled ashalt base</v>
      </c>
      <c r="D115" s="398"/>
      <c r="E115" s="196"/>
      <c r="F115" s="197"/>
      <c r="G115" s="209" t="str">
        <f>IF(ISNUMBER(E115),+D$114*E115, "-")</f>
        <v>-</v>
      </c>
      <c r="H115" s="26"/>
      <c r="I115" s="26"/>
      <c r="J115" s="26"/>
    </row>
    <row r="116" spans="1:10" x14ac:dyDescent="0.25">
      <c r="A116" s="62" t="str">
        <f>IF(FP="FP-03","Section 402 - HACP by Hveem or Marshall","Section 311 - Stabilized Aggregate Base Course")</f>
        <v>Section 311 - Stabilized Aggregate Base Course</v>
      </c>
      <c r="B116" s="294"/>
      <c r="C116" s="57"/>
      <c r="D116" s="58" t="s">
        <v>77</v>
      </c>
      <c r="E116" s="81" t="str">
        <f>IF(Units="US CUSTOMARY", (VLOOKUP(A118,'VLookup table'!A21:G29,4)),(VLOOKUP(A118,'VLookup table'!A21:G29,5)))</f>
        <v>Tons</v>
      </c>
      <c r="F116" s="64"/>
      <c r="G116" s="66" t="s">
        <v>20</v>
      </c>
      <c r="H116" s="26"/>
      <c r="I116" s="26"/>
      <c r="J116" s="26"/>
    </row>
    <row r="117" spans="1:10" ht="12.75" customHeight="1" x14ac:dyDescent="0.25">
      <c r="A117" s="188" t="str">
        <f>IF(FP="FP-03","40201","31101")</f>
        <v>31101</v>
      </c>
      <c r="B117" s="188"/>
      <c r="C117" s="189" t="str">
        <f>IF(FP="FP-03","HACP Hveem or Marshall test","Stabilized aggregate surface course*")</f>
        <v>Stabilized aggregate surface course*</v>
      </c>
      <c r="D117" s="390">
        <f>IF(Units="US CUSTOMARY",(VLOOKUP(A118,'VLookup table'!A21:G29,6)),(VLOOKUP(A118,'VLookup table'!A21:G29,7)))</f>
        <v>0.7</v>
      </c>
      <c r="E117" s="191"/>
      <c r="F117" s="192"/>
      <c r="G117" s="209" t="str">
        <f>IF(ISNUMBER(E117),+D$117*E117, "-")</f>
        <v>-</v>
      </c>
      <c r="H117" s="83"/>
      <c r="I117" s="83"/>
      <c r="J117" s="26"/>
    </row>
    <row r="118" spans="1:10" ht="23.25" customHeight="1" x14ac:dyDescent="0.25">
      <c r="A118" s="194" t="str">
        <f>IF(FP="FP-03","40202","31102")</f>
        <v>31102</v>
      </c>
      <c r="B118" s="194"/>
      <c r="C118" s="195" t="str">
        <f>IF(FP="FP-03","HACP Hveem or Marshall test, wedge and levelling course","Stabilized aggregate surface course*")</f>
        <v>Stabilized aggregate surface course*</v>
      </c>
      <c r="D118" s="390"/>
      <c r="E118" s="196"/>
      <c r="F118" s="197"/>
      <c r="G118" s="209" t="str">
        <f>IF(ISNUMBER(E118),+D$117*E118, "-")</f>
        <v>-</v>
      </c>
      <c r="H118" s="26"/>
      <c r="I118" s="26"/>
      <c r="J118" s="26"/>
    </row>
    <row r="119" spans="1:10" x14ac:dyDescent="0.25">
      <c r="A119" s="188" t="str">
        <f>IF(FP="FP-03"," ","31103")</f>
        <v>31103</v>
      </c>
      <c r="B119" s="188"/>
      <c r="C119" s="189" t="str">
        <f>IF(FP="FP-03"," ","Stabilized aggregate surface course")</f>
        <v>Stabilized aggregate surface course</v>
      </c>
      <c r="D119" s="391"/>
      <c r="E119" s="191"/>
      <c r="F119" s="192"/>
      <c r="G119" s="209" t="str">
        <f>IF(ISNUMBER(E119),+D$117*E119, "-")</f>
        <v>-</v>
      </c>
      <c r="H119" s="26"/>
      <c r="I119" s="26"/>
      <c r="J119" s="26"/>
    </row>
    <row r="120" spans="1:10" x14ac:dyDescent="0.25">
      <c r="A120" s="67" t="str">
        <f>IF(FP="FP-03","Section 403 - Hot Asphalt Concrete Pavement","Section 401 - ACP by Gyratory Mix Design Method")</f>
        <v>Section 401 - ACP by Gyratory Mix Design Method</v>
      </c>
      <c r="B120" s="295"/>
      <c r="C120" s="68"/>
      <c r="D120" s="78" t="s">
        <v>77</v>
      </c>
      <c r="E120" s="81" t="str">
        <f>IF(Units="US CUSTOMARY", (VLOOKUP(A122,'VLookup table'!A30:G35,4)),(VLOOKUP(A122,'VLookup table'!A30:G35,5)))</f>
        <v>Tons</v>
      </c>
      <c r="F120" s="71"/>
      <c r="G120" s="77" t="s">
        <v>20</v>
      </c>
      <c r="H120" s="26"/>
      <c r="I120" s="26"/>
      <c r="J120" s="26"/>
    </row>
    <row r="121" spans="1:10" x14ac:dyDescent="0.25">
      <c r="A121" s="198" t="str">
        <f>IF(FP="FP-03","40301","40101")</f>
        <v>40101</v>
      </c>
      <c r="B121" s="198"/>
      <c r="C121" s="190" t="str">
        <f>IF(FP="FP-03","Hot asphalt concrete pavement","Asphalt concrete pavement, gyratory mix")</f>
        <v>Asphalt concrete pavement, gyratory mix</v>
      </c>
      <c r="D121" s="390">
        <f>IF(Units="US CUSTOMARY",(VLOOKUP(A122,'VLookup table'!A30:G35,6)),(VLOOKUP(A122,'VLookup table'!A30:G35,7)))</f>
        <v>2.4</v>
      </c>
      <c r="E121" s="199"/>
      <c r="F121" s="200"/>
      <c r="G121" s="239" t="str">
        <f>IF(ISNUMBER(E121),+D$121*E121, "-")</f>
        <v>-</v>
      </c>
      <c r="H121" s="83"/>
      <c r="I121" s="83"/>
      <c r="J121" s="26"/>
    </row>
    <row r="122" spans="1:10" ht="21" x14ac:dyDescent="0.25">
      <c r="A122" s="201" t="str">
        <f>IF(FP="FP-03","40302","40102")</f>
        <v>40102</v>
      </c>
      <c r="B122" s="201"/>
      <c r="C122" s="202" t="str">
        <f>IF(FP="FP-03","Hot asphalt concrete pavement, wedge and levelling course","Asphalt concrete pavement, gyratory mix, wedged and leveling")</f>
        <v>Asphalt concrete pavement, gyratory mix, wedged and leveling</v>
      </c>
      <c r="D122" s="390"/>
      <c r="E122" s="203"/>
      <c r="F122" s="204"/>
      <c r="G122" s="239" t="str">
        <f>IF(ISNUMBER(E122),+D$121*E122, "-")</f>
        <v>-</v>
      </c>
      <c r="H122" s="26"/>
      <c r="I122" s="26"/>
      <c r="J122" s="26"/>
    </row>
    <row r="123" spans="1:10" ht="28.5" customHeight="1" x14ac:dyDescent="0.3">
      <c r="A123" s="392" t="str">
        <f>IF(FP="FP-03","Section 405 - Open-Graded Asphalt Friction Course","Section 402 - ACP by Hveem or Marshall Mix Design Method")</f>
        <v>Section 402 - ACP by Hveem or Marshall Mix Design Method</v>
      </c>
      <c r="B123" s="393"/>
      <c r="C123" s="394"/>
      <c r="D123" s="161" t="s">
        <v>77</v>
      </c>
      <c r="E123" s="162" t="str">
        <f>IF(Units="US CUSTOMARY", (VLOOKUP(A123,'VLookup table'!A37:G40,4)),(VLOOKUP(A123,'VLookup table'!A37:G40,5)))</f>
        <v>Tons</v>
      </c>
      <c r="F123" s="163"/>
      <c r="G123" s="164" t="s">
        <v>20</v>
      </c>
      <c r="H123" s="26"/>
      <c r="I123" s="26"/>
      <c r="J123" s="26"/>
    </row>
    <row r="124" spans="1:10" ht="12.75" customHeight="1" x14ac:dyDescent="0.25">
      <c r="A124" s="198" t="str">
        <f>IF(FP="FP-03","40501","40201")</f>
        <v>40201</v>
      </c>
      <c r="B124" s="198"/>
      <c r="C124" s="190" t="str">
        <f>IF(FP="FP-03","Open-graded asphalt friction course","ACP Hveem or Marshall Mix Design Method")</f>
        <v>ACP Hveem or Marshall Mix Design Method</v>
      </c>
      <c r="D124" s="390">
        <f>IF(Units="US CUSTOMARY",(VLOOKUP(A123,'VLookup table'!A35:G39,6)),(VLOOKUP(A123,'VLookup table'!A35:G39,7)))</f>
        <v>2.4</v>
      </c>
      <c r="E124" s="199"/>
      <c r="F124" s="200"/>
      <c r="G124" s="239" t="str">
        <f>IF(ISNUMBER(E124),+D$124*E124, "-")</f>
        <v>-</v>
      </c>
      <c r="H124" s="83"/>
      <c r="I124" s="83"/>
      <c r="J124" s="26"/>
    </row>
    <row r="125" spans="1:10" ht="23.25" customHeight="1" x14ac:dyDescent="0.25">
      <c r="A125" s="201" t="str">
        <f>IF(FP="FP-03","","40202")</f>
        <v>40202</v>
      </c>
      <c r="B125" s="201"/>
      <c r="C125" s="202" t="str">
        <f>IF(FP="FP-03","","ACP Hveen or Marshall Mix, wedge and leveling")</f>
        <v>ACP Hveen or Marshall Mix, wedge and leveling</v>
      </c>
      <c r="D125" s="390"/>
      <c r="E125" s="203"/>
      <c r="F125" s="204"/>
      <c r="G125" s="239" t="str">
        <f>IF(ISNUMBER(E125),+D$124*E125, "-")</f>
        <v>-</v>
      </c>
      <c r="H125" s="26"/>
      <c r="I125" s="26"/>
      <c r="J125" s="26"/>
    </row>
    <row r="126" spans="1:10" x14ac:dyDescent="0.25">
      <c r="A126" s="67" t="str">
        <f>IF(FP="FP-03","Section 408 - Cold Recycled Asphalt base Course","Section 403 - Asphalt Concrete")</f>
        <v>Section 403 - Asphalt Concrete</v>
      </c>
      <c r="B126" s="295"/>
      <c r="C126" s="68"/>
      <c r="D126" s="78" t="s">
        <v>77</v>
      </c>
      <c r="E126" s="81" t="str">
        <f>IF(Units="US CUSTOMARY", (VLOOKUP(A126,'VLookup table'!A38:G46,4)),(VLOOKUP(A126,'VLookup table'!A38:G46,5)))</f>
        <v>Tons</v>
      </c>
      <c r="F126" s="71"/>
      <c r="G126" s="77" t="s">
        <v>20</v>
      </c>
      <c r="H126" s="48"/>
      <c r="I126" s="48"/>
      <c r="J126" s="48"/>
    </row>
    <row r="127" spans="1:10" x14ac:dyDescent="0.25">
      <c r="A127" s="198" t="str">
        <f>IF(FP="FP-03","40801","40301")</f>
        <v>40301</v>
      </c>
      <c r="B127" s="198"/>
      <c r="C127" s="190" t="str">
        <f>IF(FP="FP-03","Cold recylced aphalt base","Asphalt concrete pavement")</f>
        <v>Asphalt concrete pavement</v>
      </c>
      <c r="D127" s="390">
        <f>IF(Units="US CUSTOMARY",(VLOOKUP(A126,'VLookup table'!A38:G46,6)),(VLOOKUP(A126,'VLookup table'!A38:G46,7)))</f>
        <v>2.4</v>
      </c>
      <c r="E127" s="199"/>
      <c r="F127" s="200"/>
      <c r="G127" s="239" t="str">
        <f>IF(ISNUMBER(E127),+D$127*E127, "-")</f>
        <v>-</v>
      </c>
      <c r="H127" s="153"/>
      <c r="I127" s="153"/>
      <c r="J127" s="18"/>
    </row>
    <row r="128" spans="1:10" x14ac:dyDescent="0.25">
      <c r="A128" s="198" t="str">
        <f>IF(FP="FP-03","40802","40302")</f>
        <v>40302</v>
      </c>
      <c r="B128" s="198"/>
      <c r="C128" s="190" t="str">
        <f>IF(FP="FP-03","Cold recylced aphalt base*","Asphalt concrete pavement*")</f>
        <v>Asphalt concrete pavement*</v>
      </c>
      <c r="D128" s="390"/>
      <c r="E128" s="199"/>
      <c r="F128" s="200"/>
      <c r="G128" s="239" t="str">
        <f>IF(ISNUMBER(E128),+D$127*E128, "-")</f>
        <v>-</v>
      </c>
      <c r="H128" s="44"/>
      <c r="I128" s="44"/>
      <c r="J128" s="44"/>
    </row>
    <row r="129" spans="1:10" ht="21" x14ac:dyDescent="0.25">
      <c r="A129" s="201" t="str">
        <f>IF(FP="FP-03","","40303")</f>
        <v>40303</v>
      </c>
      <c r="B129" s="201"/>
      <c r="C129" s="202" t="str">
        <f>IF(FP="FP-03","","Asphalt concrete pavement, wedge and levelling")</f>
        <v>Asphalt concrete pavement, wedge and levelling</v>
      </c>
      <c r="D129" s="391"/>
      <c r="E129" s="203"/>
      <c r="F129" s="204"/>
      <c r="G129" s="239" t="str">
        <f>IF(ISNUMBER(E129),+D$127*E129, "-")</f>
        <v>-</v>
      </c>
      <c r="H129" s="44"/>
      <c r="I129" s="44"/>
      <c r="J129" s="44"/>
    </row>
    <row r="130" spans="1:10" ht="14.4" x14ac:dyDescent="0.3">
      <c r="A130" s="289" t="s">
        <v>162</v>
      </c>
      <c r="B130" s="289"/>
      <c r="C130" s="205"/>
      <c r="D130" s="240"/>
      <c r="E130" s="246"/>
      <c r="F130" s="206"/>
      <c r="G130" s="241"/>
      <c r="H130" s="44"/>
      <c r="I130" s="44"/>
      <c r="J130" s="44"/>
    </row>
    <row r="131" spans="1:10" ht="14.4" x14ac:dyDescent="0.3">
      <c r="A131" s="165"/>
      <c r="B131" s="165"/>
      <c r="C131" s="160"/>
      <c r="D131" s="242"/>
      <c r="E131" s="247"/>
      <c r="F131" s="207"/>
      <c r="G131" s="243"/>
      <c r="H131" s="44"/>
      <c r="I131" s="44"/>
      <c r="J131" s="303" t="str">
        <f>$J$67</f>
        <v>EFL-TM-ESS-01(10)</v>
      </c>
    </row>
    <row r="132" spans="1:10" ht="14.4" x14ac:dyDescent="0.3">
      <c r="A132" s="165"/>
      <c r="B132" s="165"/>
      <c r="C132" s="160"/>
      <c r="D132" s="242"/>
      <c r="E132" s="247"/>
      <c r="F132" s="207"/>
      <c r="G132" s="243"/>
      <c r="H132" s="44"/>
      <c r="I132" s="44"/>
      <c r="J132" s="44"/>
    </row>
    <row r="133" spans="1:10" ht="17.399999999999999" x14ac:dyDescent="0.3">
      <c r="A133" s="388" t="s">
        <v>164</v>
      </c>
      <c r="B133" s="388"/>
      <c r="C133" s="388"/>
      <c r="D133" s="388"/>
      <c r="E133" s="388"/>
      <c r="F133" s="388"/>
      <c r="G133" s="388"/>
      <c r="H133" s="388"/>
      <c r="I133" s="388"/>
      <c r="J133" s="388"/>
    </row>
    <row r="134" spans="1:10" x14ac:dyDescent="0.25">
      <c r="A134" s="7"/>
      <c r="B134" s="7"/>
      <c r="C134" s="7"/>
      <c r="D134" s="11" t="s">
        <v>14</v>
      </c>
      <c r="E134" s="12" t="str">
        <f>IF(FP="FP-03","FP-03","FP-14")</f>
        <v>FP-14</v>
      </c>
      <c r="F134" s="8"/>
      <c r="G134" s="9"/>
      <c r="H134" s="9"/>
      <c r="I134" s="9"/>
      <c r="J134" s="9"/>
    </row>
    <row r="135" spans="1:10" x14ac:dyDescent="0.25">
      <c r="A135" s="7"/>
      <c r="B135" s="7"/>
      <c r="C135" s="7"/>
      <c r="D135" s="7"/>
      <c r="E135" s="10"/>
      <c r="F135" s="8"/>
      <c r="G135" s="9"/>
      <c r="H135" s="9"/>
      <c r="I135" s="9"/>
      <c r="J135" s="9"/>
    </row>
    <row r="136" spans="1:10" x14ac:dyDescent="0.25">
      <c r="A136" s="11" t="s">
        <v>2</v>
      </c>
      <c r="B136" s="11"/>
      <c r="C136" s="362">
        <f>+C5</f>
        <v>0</v>
      </c>
      <c r="D136" s="362"/>
      <c r="E136" s="12"/>
      <c r="F136" s="12"/>
      <c r="G136" s="13"/>
      <c r="H136" s="14"/>
      <c r="I136" s="14" t="s">
        <v>4</v>
      </c>
      <c r="J136" s="15">
        <f ca="1" xml:space="preserve"> TODAY()</f>
        <v>44474</v>
      </c>
    </row>
    <row r="137" spans="1:10" ht="3.75" customHeight="1" x14ac:dyDescent="0.25">
      <c r="A137" s="11"/>
      <c r="B137" s="11"/>
      <c r="C137" s="362"/>
      <c r="D137" s="362"/>
      <c r="E137" s="12"/>
      <c r="F137" s="12"/>
      <c r="G137" s="13"/>
      <c r="H137" s="14"/>
      <c r="I137" s="14"/>
      <c r="J137" s="15"/>
    </row>
    <row r="138" spans="1:10" x14ac:dyDescent="0.25">
      <c r="A138" s="11" t="s">
        <v>3</v>
      </c>
      <c r="B138" s="11"/>
      <c r="C138" s="389">
        <f>+C7</f>
        <v>0</v>
      </c>
      <c r="D138" s="389"/>
      <c r="E138" s="389"/>
      <c r="F138" s="389"/>
      <c r="G138" s="389"/>
      <c r="H138" s="14"/>
      <c r="I138" s="14" t="str">
        <f>+I7</f>
        <v xml:space="preserve">Option: </v>
      </c>
      <c r="J138" s="17" t="str">
        <f>+J7</f>
        <v>D</v>
      </c>
    </row>
    <row r="139" spans="1:10" x14ac:dyDescent="0.25">
      <c r="A139" s="7"/>
      <c r="B139" s="7"/>
      <c r="C139" s="7"/>
      <c r="D139" s="7"/>
      <c r="E139" s="8"/>
      <c r="F139" s="8"/>
      <c r="G139" s="9"/>
      <c r="H139" s="14"/>
      <c r="I139" s="14" t="s">
        <v>6</v>
      </c>
      <c r="J139" s="13" t="str">
        <f>+Units</f>
        <v>US CUSTOMARY</v>
      </c>
    </row>
    <row r="140" spans="1:10" ht="6.75" customHeight="1" thickBot="1" x14ac:dyDescent="0.3">
      <c r="A140" s="7"/>
      <c r="B140" s="7"/>
      <c r="C140" s="7"/>
      <c r="D140" s="7"/>
      <c r="E140" s="8"/>
      <c r="F140" s="8"/>
      <c r="G140" s="9"/>
      <c r="H140" s="14"/>
      <c r="I140" s="14"/>
      <c r="J140" s="13"/>
    </row>
    <row r="141" spans="1:10" ht="19.5" customHeight="1" thickBot="1" x14ac:dyDescent="0.3">
      <c r="A141" s="230" t="s">
        <v>139</v>
      </c>
      <c r="B141" s="292"/>
      <c r="C141" s="231"/>
      <c r="D141" s="231"/>
      <c r="E141" s="231"/>
      <c r="F141" s="231"/>
      <c r="G141" s="231"/>
      <c r="H141" s="231"/>
      <c r="I141" s="231"/>
      <c r="J141" s="232"/>
    </row>
    <row r="142" spans="1:10" ht="5.25" customHeight="1" x14ac:dyDescent="0.25">
      <c r="A142" s="18"/>
      <c r="B142" s="18"/>
      <c r="C142" s="43"/>
      <c r="D142" s="43"/>
      <c r="E142" s="44"/>
      <c r="F142" s="45"/>
      <c r="G142" s="44"/>
      <c r="H142" s="44"/>
      <c r="I142" s="44"/>
      <c r="J142" s="44"/>
    </row>
    <row r="143" spans="1:10" ht="24" customHeight="1" x14ac:dyDescent="0.25">
      <c r="A143" s="400" t="str">
        <f>IF(FP="FP-03","Section 416 - Continuous Cold Recycled Asphalt Base Course","Section 405 - Open-Graded Asphalt Friction")</f>
        <v>Section 405 - Open-Graded Asphalt Friction</v>
      </c>
      <c r="B143" s="401"/>
      <c r="C143" s="402"/>
      <c r="D143" s="78" t="s">
        <v>77</v>
      </c>
      <c r="E143" s="81" t="str">
        <f>IF(Units="US CUSTOMARY", (VLOOKUP(A143,'VLookup table'!A42:G50,4)),(VLOOKUP(A143,'VLookup table'!A42:G50,5)))</f>
        <v>Tons</v>
      </c>
      <c r="F143" s="71"/>
      <c r="G143" s="77" t="s">
        <v>20</v>
      </c>
      <c r="H143" s="44"/>
      <c r="I143" s="44"/>
      <c r="J143" s="44"/>
    </row>
    <row r="144" spans="1:10" ht="14.4" x14ac:dyDescent="0.25">
      <c r="A144" s="69" t="str">
        <f>IF(FP="FP-03","41601","40501")</f>
        <v>40501</v>
      </c>
      <c r="B144" s="69"/>
      <c r="C144" s="70" t="str">
        <f>IF(FP="FP-03","Continuous cold recylced aphalt base","Open-graded asphalt friction course")</f>
        <v>Open-graded asphalt friction course</v>
      </c>
      <c r="D144" s="244">
        <f>IF(Units="US CUSTOMARY",(VLOOKUP(A143,'VLookup table'!A42:G50,6)),(VLOOKUP(A143,'VLookup table'!A42:G50,7)))</f>
        <v>2.4</v>
      </c>
      <c r="E144" s="74"/>
      <c r="F144" s="72"/>
      <c r="G144" s="245" t="str">
        <f>IF(ISNUMBER(E144),+D$144*E144, "-")</f>
        <v>-</v>
      </c>
      <c r="H144" s="151"/>
      <c r="I144" s="151"/>
      <c r="J144" s="44"/>
    </row>
    <row r="145" spans="1:10" ht="26.25" customHeight="1" x14ac:dyDescent="0.25">
      <c r="A145" s="400" t="str">
        <f>IF(FP="FP-03","Section 418 - Foamed Asphalt Stabilized Base - not in FP (in SCRs)","Not applicable")</f>
        <v>Not applicable</v>
      </c>
      <c r="B145" s="401"/>
      <c r="C145" s="403"/>
      <c r="D145" s="161" t="s">
        <v>77</v>
      </c>
      <c r="E145" s="162" t="e">
        <f>IF(Units="US CUSTOMARY", (VLOOKUP(A145,'VLookup table'!A49:G54,4)),(VLOOKUP(A145,'VLookup table'!A49:G54,5)))</f>
        <v>#N/A</v>
      </c>
      <c r="F145" s="163"/>
      <c r="G145" s="164" t="s">
        <v>20</v>
      </c>
      <c r="H145" s="151"/>
      <c r="I145" s="151"/>
      <c r="J145" s="44"/>
    </row>
    <row r="146" spans="1:10" ht="14.4" x14ac:dyDescent="0.25">
      <c r="A146" s="69" t="str">
        <f>IF(FP="FP-03","41801","")</f>
        <v/>
      </c>
      <c r="B146" s="69"/>
      <c r="C146" s="70" t="str">
        <f>IF(FP="FP-03","Foamed asphalt stabilized base course","")</f>
        <v/>
      </c>
      <c r="D146" s="244" t="e">
        <f>IF(Units="US CUSTOMARY",(VLOOKUP(A145,'VLookup table'!A49:G53,6)),(VLOOKUP(A145,'VLookup table'!A49:G53,7)))</f>
        <v>#N/A</v>
      </c>
      <c r="E146" s="74"/>
      <c r="F146" s="72"/>
      <c r="G146" s="245" t="str">
        <f>IF(ISNUMBER(E146),+D$146*E146, "-")</f>
        <v>-</v>
      </c>
      <c r="H146" s="151"/>
      <c r="I146" s="151"/>
      <c r="J146" s="48"/>
    </row>
    <row r="147" spans="1:10" x14ac:dyDescent="0.25">
      <c r="A147" s="67" t="str">
        <f>IF(FP="FP-03","Section 501 - Rigid pavement","Not applicable")</f>
        <v>Not applicable</v>
      </c>
      <c r="B147" s="295"/>
      <c r="C147" s="68"/>
      <c r="D147" s="78" t="s">
        <v>77</v>
      </c>
      <c r="E147" s="81" t="e">
        <f>IF(Units="US CUSTOMARY", (VLOOKUP(A148,'VLookup table'!A54:G56,4)),(VLOOKUP(A148,'VLookup table'!A54:G56,5)))</f>
        <v>#N/A</v>
      </c>
      <c r="F147" s="71"/>
      <c r="G147" s="77" t="s">
        <v>20</v>
      </c>
      <c r="H147" s="49"/>
      <c r="I147" s="49"/>
      <c r="J147" s="50"/>
    </row>
    <row r="148" spans="1:10" x14ac:dyDescent="0.25">
      <c r="A148" s="198" t="str">
        <f>IF(FP="FP-03","50101","")</f>
        <v/>
      </c>
      <c r="B148" s="198"/>
      <c r="C148" s="190" t="str">
        <f>IF(FP="FP-03","Reinforced rigid pavement","")</f>
        <v/>
      </c>
      <c r="D148" s="390" t="e">
        <f>IF(Units="US CUSTOMARY",(VLOOKUP(A148,'VLookup table'!A54:G56,6)),(VLOOKUP(A148,'VLookup table'!A54:G56,7)))</f>
        <v>#N/A</v>
      </c>
      <c r="E148" s="199"/>
      <c r="F148" s="200"/>
      <c r="G148" s="239" t="str">
        <f>IF(ISNUMBER(E148),+D$148*E148, "-")</f>
        <v>-</v>
      </c>
      <c r="H148" s="49"/>
      <c r="I148" s="49"/>
      <c r="J148" s="50"/>
    </row>
    <row r="149" spans="1:10" x14ac:dyDescent="0.25">
      <c r="A149" s="198" t="str">
        <f>IF(FP="FP-03","50102","")</f>
        <v/>
      </c>
      <c r="B149" s="198"/>
      <c r="C149" s="190" t="str">
        <f>IF(FP="FP-03","Plain rigid pavement","")</f>
        <v/>
      </c>
      <c r="D149" s="391"/>
      <c r="E149" s="199"/>
      <c r="F149" s="200"/>
      <c r="G149" s="239" t="str">
        <f>IF(ISNUMBER(E149),+D$148*E149, "-")</f>
        <v>-</v>
      </c>
      <c r="H149" s="49"/>
      <c r="I149" s="49"/>
      <c r="J149" s="50"/>
    </row>
    <row r="150" spans="1:10" x14ac:dyDescent="0.25">
      <c r="A150" s="46"/>
      <c r="B150" s="46"/>
      <c r="C150" s="46"/>
      <c r="D150" s="46"/>
      <c r="E150" s="47"/>
      <c r="F150" s="47"/>
      <c r="G150" s="48"/>
      <c r="H150" s="324"/>
      <c r="I150" s="324"/>
      <c r="J150" s="48"/>
    </row>
    <row r="151" spans="1:10" x14ac:dyDescent="0.25">
      <c r="A151" s="46"/>
      <c r="B151" s="46"/>
      <c r="C151" s="46"/>
      <c r="D151" s="46"/>
      <c r="E151" s="47"/>
      <c r="F151" s="47"/>
      <c r="G151" s="48"/>
      <c r="H151" s="48"/>
      <c r="I151" s="48"/>
      <c r="J151" s="48"/>
    </row>
    <row r="152" spans="1:10" x14ac:dyDescent="0.25">
      <c r="A152" s="208"/>
      <c r="B152" s="208"/>
      <c r="C152" s="215"/>
      <c r="D152" s="216"/>
      <c r="E152" s="217" t="s">
        <v>132</v>
      </c>
      <c r="F152" s="216"/>
      <c r="G152" s="218">
        <f>SUM(G80:G129)+SUM(G143:G149)</f>
        <v>0</v>
      </c>
      <c r="H152" s="18"/>
      <c r="I152" s="18"/>
      <c r="J152" s="18"/>
    </row>
    <row r="153" spans="1:10" ht="4.5" customHeight="1" x14ac:dyDescent="0.25">
      <c r="A153" s="18"/>
      <c r="B153" s="18"/>
      <c r="C153" s="219"/>
      <c r="D153" s="43"/>
      <c r="E153" s="45"/>
      <c r="F153" s="45"/>
      <c r="G153" s="220"/>
      <c r="H153" s="44"/>
      <c r="I153" s="44"/>
      <c r="J153" s="44"/>
    </row>
    <row r="154" spans="1:10" x14ac:dyDescent="0.25">
      <c r="A154" s="18"/>
      <c r="B154" s="18"/>
      <c r="C154" s="221"/>
      <c r="D154" s="46"/>
      <c r="E154" s="210" t="s">
        <v>128</v>
      </c>
      <c r="F154" s="51"/>
      <c r="G154" s="248"/>
      <c r="H154" s="44"/>
      <c r="I154" s="44"/>
      <c r="J154" s="44"/>
    </row>
    <row r="155" spans="1:10" ht="7.5" customHeight="1" x14ac:dyDescent="0.25">
      <c r="A155" s="18"/>
      <c r="B155" s="18"/>
      <c r="C155" s="222"/>
      <c r="D155" s="46"/>
      <c r="E155" s="214"/>
      <c r="F155" s="51"/>
      <c r="G155" s="220"/>
      <c r="H155" s="44"/>
      <c r="I155" s="44"/>
      <c r="J155" s="44"/>
    </row>
    <row r="156" spans="1:10" x14ac:dyDescent="0.25">
      <c r="A156" s="18"/>
      <c r="B156" s="18"/>
      <c r="C156" s="222"/>
      <c r="D156" s="46"/>
      <c r="E156" s="210" t="s">
        <v>129</v>
      </c>
      <c r="F156" s="51"/>
      <c r="G156" s="223" t="str">
        <f>IF(G154&lt;&gt;"",G154*1.6,"-")</f>
        <v>-</v>
      </c>
      <c r="H156" s="44"/>
      <c r="I156" s="44"/>
      <c r="J156" s="44"/>
    </row>
    <row r="157" spans="1:10" ht="5.25" customHeight="1" x14ac:dyDescent="0.25">
      <c r="A157" s="18"/>
      <c r="B157" s="18"/>
      <c r="C157" s="222"/>
      <c r="D157" s="46"/>
      <c r="E157" s="214"/>
      <c r="F157" s="51"/>
      <c r="G157" s="220"/>
      <c r="H157" s="44"/>
      <c r="I157" s="44"/>
      <c r="J157" s="44"/>
    </row>
    <row r="158" spans="1:10" x14ac:dyDescent="0.25">
      <c r="A158" s="46"/>
      <c r="B158" s="46"/>
      <c r="C158" s="222"/>
      <c r="D158" s="46"/>
      <c r="E158" s="211" t="s">
        <v>130</v>
      </c>
      <c r="F158" s="47"/>
      <c r="G158" s="224" t="str">
        <f>IF(G152&lt;&gt;0,(1.6-1.1)*(G152*G154),"-")</f>
        <v>-</v>
      </c>
      <c r="H158" s="48"/>
      <c r="I158" s="48"/>
      <c r="J158" s="48"/>
    </row>
    <row r="159" spans="1:10" ht="7.5" customHeight="1" x14ac:dyDescent="0.25">
      <c r="A159" s="46"/>
      <c r="B159" s="46"/>
      <c r="C159" s="222"/>
      <c r="D159" s="46"/>
      <c r="E159" s="47"/>
      <c r="F159" s="47"/>
      <c r="G159" s="220"/>
      <c r="H159" s="52"/>
      <c r="I159" s="52"/>
      <c r="J159" s="53"/>
    </row>
    <row r="160" spans="1:10" x14ac:dyDescent="0.25">
      <c r="A160" s="46"/>
      <c r="B160" s="46"/>
      <c r="C160" s="222"/>
      <c r="D160" s="46"/>
      <c r="E160" s="211" t="s">
        <v>131</v>
      </c>
      <c r="F160" s="47"/>
      <c r="G160" s="249"/>
      <c r="H160" s="52"/>
      <c r="I160" s="52"/>
      <c r="J160" s="53"/>
    </row>
    <row r="161" spans="1:10" ht="6.75" customHeight="1" x14ac:dyDescent="0.25">
      <c r="A161" s="46"/>
      <c r="B161" s="46"/>
      <c r="C161" s="222"/>
      <c r="D161" s="46"/>
      <c r="E161" s="47"/>
      <c r="F161" s="47"/>
      <c r="G161" s="220"/>
      <c r="H161" s="52"/>
      <c r="I161" s="52"/>
      <c r="J161" s="53"/>
    </row>
    <row r="162" spans="1:10" ht="18.75" customHeight="1" x14ac:dyDescent="0.25">
      <c r="A162" s="46"/>
      <c r="B162" s="46"/>
      <c r="C162" s="225"/>
      <c r="D162" s="226"/>
      <c r="E162" s="227" t="s">
        <v>133</v>
      </c>
      <c r="F162" s="228"/>
      <c r="G162" s="229" t="str">
        <f>IF(G160&lt;&gt;"",(G158*G160)/100,"$0.00")</f>
        <v>$0.00</v>
      </c>
      <c r="H162" s="52"/>
      <c r="I162" s="52"/>
      <c r="J162" s="53"/>
    </row>
    <row r="163" spans="1:10" ht="18.75" customHeight="1" x14ac:dyDescent="0.25">
      <c r="A163" s="46"/>
      <c r="B163" s="46"/>
      <c r="C163" s="46"/>
      <c r="D163" s="46"/>
      <c r="E163" s="212"/>
      <c r="F163" s="47"/>
      <c r="G163" s="213"/>
      <c r="H163" s="52"/>
      <c r="I163" s="52"/>
      <c r="J163" s="53"/>
    </row>
    <row r="164" spans="1:10" ht="18.75" customHeight="1" x14ac:dyDescent="0.25">
      <c r="A164" s="46"/>
      <c r="B164" s="46"/>
      <c r="C164" s="46"/>
      <c r="D164" s="46"/>
      <c r="E164" s="212"/>
      <c r="F164" s="47"/>
      <c r="G164" s="213"/>
      <c r="H164" s="52"/>
      <c r="I164" s="52"/>
      <c r="J164" s="53"/>
    </row>
    <row r="165" spans="1:10" x14ac:dyDescent="0.25">
      <c r="A165" s="46"/>
      <c r="B165" s="46"/>
      <c r="C165" s="46"/>
      <c r="D165" s="46"/>
      <c r="E165" s="47"/>
      <c r="F165" s="47"/>
      <c r="G165" s="48"/>
      <c r="H165" s="52"/>
      <c r="I165" s="52"/>
      <c r="J165" s="53"/>
    </row>
    <row r="166" spans="1:10" ht="6.75" customHeight="1" thickBot="1" x14ac:dyDescent="0.3">
      <c r="A166" s="7"/>
      <c r="B166" s="7"/>
      <c r="C166" s="7"/>
      <c r="D166" s="7"/>
      <c r="E166" s="8"/>
      <c r="F166" s="8"/>
      <c r="G166" s="9"/>
      <c r="H166" s="14"/>
      <c r="I166" s="14"/>
      <c r="J166" s="13"/>
    </row>
    <row r="167" spans="1:10" ht="19.5" customHeight="1" thickBot="1" x14ac:dyDescent="0.3">
      <c r="A167" s="233" t="s">
        <v>134</v>
      </c>
      <c r="B167" s="296"/>
      <c r="C167" s="234"/>
      <c r="D167" s="234"/>
      <c r="E167" s="234"/>
      <c r="F167" s="234"/>
      <c r="G167" s="234"/>
      <c r="H167" s="234"/>
      <c r="I167" s="234"/>
      <c r="J167" s="235"/>
    </row>
    <row r="168" spans="1:10" ht="5.25" customHeight="1" x14ac:dyDescent="0.25">
      <c r="A168" s="18"/>
      <c r="B168" s="18"/>
      <c r="C168" s="43"/>
      <c r="D168" s="43"/>
      <c r="E168" s="44"/>
      <c r="F168" s="45"/>
      <c r="G168" s="44"/>
      <c r="H168" s="44"/>
      <c r="I168" s="44"/>
      <c r="J168" s="44"/>
    </row>
    <row r="169" spans="1:10" x14ac:dyDescent="0.25">
      <c r="A169" s="46"/>
      <c r="B169" s="46"/>
      <c r="C169" s="215"/>
      <c r="D169" s="216"/>
      <c r="E169" s="217" t="s">
        <v>137</v>
      </c>
      <c r="F169" s="216"/>
      <c r="G169" s="250"/>
      <c r="H169" s="52"/>
      <c r="I169" s="52"/>
      <c r="J169" s="53"/>
    </row>
    <row r="170" spans="1:10" x14ac:dyDescent="0.25">
      <c r="A170" s="46"/>
      <c r="B170" s="46"/>
      <c r="C170" s="219"/>
      <c r="D170" s="43"/>
      <c r="E170" s="45"/>
      <c r="F170" s="45"/>
      <c r="G170" s="220"/>
      <c r="H170" s="52"/>
      <c r="I170" s="52"/>
      <c r="J170" s="53"/>
    </row>
    <row r="171" spans="1:10" x14ac:dyDescent="0.25">
      <c r="A171" s="46"/>
      <c r="B171" s="46"/>
      <c r="C171" s="221"/>
      <c r="D171" s="46"/>
      <c r="E171" s="210" t="s">
        <v>135</v>
      </c>
      <c r="F171" s="51"/>
      <c r="G171" s="248"/>
      <c r="H171" s="52"/>
      <c r="I171" s="52"/>
      <c r="J171" s="53"/>
    </row>
    <row r="172" spans="1:10" x14ac:dyDescent="0.25">
      <c r="A172" s="46"/>
      <c r="B172" s="46"/>
      <c r="C172" s="222"/>
      <c r="D172" s="46"/>
      <c r="E172" s="214"/>
      <c r="F172" s="51"/>
      <c r="G172" s="220"/>
      <c r="H172" s="52"/>
      <c r="I172" s="52"/>
      <c r="J172" s="53"/>
    </row>
    <row r="173" spans="1:10" x14ac:dyDescent="0.25">
      <c r="A173" s="46"/>
      <c r="B173" s="46"/>
      <c r="C173" s="222"/>
      <c r="D173" s="46"/>
      <c r="E173" s="210" t="s">
        <v>129</v>
      </c>
      <c r="F173" s="51"/>
      <c r="G173" s="223" t="str">
        <f>IF(G171&lt;&gt;"",G171*1.6,"-")</f>
        <v>-</v>
      </c>
      <c r="H173" s="52"/>
      <c r="I173" s="52"/>
      <c r="J173" s="53"/>
    </row>
    <row r="174" spans="1:10" x14ac:dyDescent="0.25">
      <c r="A174" s="46"/>
      <c r="B174" s="46"/>
      <c r="C174" s="222"/>
      <c r="D174" s="46"/>
      <c r="E174" s="214"/>
      <c r="F174" s="51"/>
      <c r="G174" s="220"/>
      <c r="H174" s="52"/>
      <c r="I174" s="52"/>
      <c r="J174" s="53"/>
    </row>
    <row r="175" spans="1:10" x14ac:dyDescent="0.25">
      <c r="A175" s="46"/>
      <c r="B175" s="46"/>
      <c r="C175" s="222"/>
      <c r="D175" s="46"/>
      <c r="E175" s="211" t="s">
        <v>136</v>
      </c>
      <c r="F175" s="47"/>
      <c r="G175" s="224" t="str">
        <f>IF(G169&lt;&gt;0,(1.6-1.1)*(G169*G171),"-")</f>
        <v>-</v>
      </c>
      <c r="H175" s="52"/>
      <c r="I175" s="52"/>
      <c r="J175" s="53"/>
    </row>
    <row r="176" spans="1:10" x14ac:dyDescent="0.25">
      <c r="A176" s="46"/>
      <c r="B176" s="46"/>
      <c r="C176" s="222"/>
      <c r="D176" s="46"/>
      <c r="E176" s="47"/>
      <c r="F176" s="47"/>
      <c r="G176" s="220"/>
      <c r="H176" s="52"/>
      <c r="I176" s="52"/>
      <c r="J176" s="53"/>
    </row>
    <row r="177" spans="1:10" x14ac:dyDescent="0.25">
      <c r="A177" s="46"/>
      <c r="B177" s="46"/>
      <c r="C177" s="222"/>
      <c r="D177" s="46"/>
      <c r="E177" s="211" t="s">
        <v>131</v>
      </c>
      <c r="F177" s="47"/>
      <c r="G177" s="249"/>
      <c r="H177" s="52"/>
      <c r="I177" s="52"/>
      <c r="J177" s="53"/>
    </row>
    <row r="178" spans="1:10" x14ac:dyDescent="0.25">
      <c r="A178" s="46"/>
      <c r="B178" s="46"/>
      <c r="C178" s="222"/>
      <c r="D178" s="46"/>
      <c r="E178" s="47"/>
      <c r="F178" s="47"/>
      <c r="G178" s="220"/>
      <c r="H178" s="52"/>
      <c r="I178" s="52"/>
      <c r="J178" s="53"/>
    </row>
    <row r="179" spans="1:10" x14ac:dyDescent="0.25">
      <c r="A179" s="46"/>
      <c r="B179" s="46"/>
      <c r="C179" s="225"/>
      <c r="D179" s="226"/>
      <c r="E179" s="227" t="s">
        <v>138</v>
      </c>
      <c r="F179" s="228"/>
      <c r="G179" s="229" t="str">
        <f>IF(G177&lt;&gt;"",(G175*G177)/100,"$0.00")</f>
        <v>$0.00</v>
      </c>
      <c r="H179" s="48"/>
      <c r="I179" s="48"/>
      <c r="J179" s="48"/>
    </row>
    <row r="180" spans="1:10" x14ac:dyDescent="0.25">
      <c r="A180" s="46"/>
      <c r="B180" s="46"/>
      <c r="C180" s="46"/>
      <c r="D180" s="46"/>
      <c r="E180" s="47"/>
      <c r="F180" s="47"/>
      <c r="G180" s="48"/>
      <c r="H180" s="48"/>
      <c r="I180" s="48"/>
      <c r="J180" s="48"/>
    </row>
    <row r="181" spans="1:10" x14ac:dyDescent="0.25">
      <c r="A181" s="54"/>
      <c r="B181" s="54"/>
      <c r="C181" s="55"/>
      <c r="D181" s="55"/>
      <c r="E181" s="47"/>
      <c r="F181" s="47"/>
      <c r="G181" s="48"/>
      <c r="H181" s="48"/>
      <c r="I181" s="48"/>
      <c r="J181" s="48"/>
    </row>
    <row r="182" spans="1:10" x14ac:dyDescent="0.25">
      <c r="A182" s="55"/>
      <c r="B182" s="55"/>
      <c r="C182" s="55"/>
      <c r="D182" s="55"/>
      <c r="E182" s="47"/>
      <c r="F182" s="47"/>
      <c r="G182" s="48"/>
      <c r="H182" s="48"/>
      <c r="I182" s="48"/>
      <c r="J182" s="48"/>
    </row>
    <row r="183" spans="1:10" x14ac:dyDescent="0.25">
      <c r="A183" s="55"/>
      <c r="B183" s="55"/>
      <c r="C183" s="55"/>
      <c r="D183" s="55"/>
      <c r="E183" s="47"/>
      <c r="F183" s="47"/>
      <c r="G183" s="48"/>
      <c r="H183" s="48"/>
      <c r="I183" s="48"/>
      <c r="J183" s="48"/>
    </row>
    <row r="184" spans="1:10" x14ac:dyDescent="0.25">
      <c r="A184" s="54"/>
      <c r="B184" s="54"/>
      <c r="C184" s="55"/>
      <c r="D184" s="55"/>
      <c r="E184" s="47"/>
      <c r="F184" s="47"/>
      <c r="G184" s="48"/>
      <c r="H184" s="48"/>
      <c r="I184" s="48"/>
      <c r="J184" s="48"/>
    </row>
    <row r="185" spans="1:10" x14ac:dyDescent="0.25">
      <c r="A185" s="55"/>
      <c r="B185" s="55"/>
      <c r="C185" s="55"/>
      <c r="D185" s="55"/>
      <c r="E185" s="47"/>
      <c r="F185" s="47"/>
      <c r="G185" s="48"/>
      <c r="H185" s="48"/>
      <c r="I185" s="48"/>
      <c r="J185" s="48"/>
    </row>
    <row r="186" spans="1:10" x14ac:dyDescent="0.25">
      <c r="A186" s="55"/>
      <c r="B186" s="55"/>
      <c r="C186" s="55"/>
      <c r="D186" s="55"/>
      <c r="E186" s="47"/>
      <c r="F186" s="47"/>
      <c r="G186" s="48"/>
      <c r="H186" s="48"/>
      <c r="I186" s="48"/>
      <c r="J186" s="48"/>
    </row>
    <row r="187" spans="1:10" x14ac:dyDescent="0.25">
      <c r="A187" s="54"/>
      <c r="B187" s="54"/>
      <c r="C187" s="55"/>
      <c r="D187" s="55"/>
      <c r="E187" s="47"/>
      <c r="F187" s="47"/>
      <c r="G187" s="48"/>
      <c r="H187" s="48"/>
      <c r="I187" s="48"/>
      <c r="J187" s="303" t="str">
        <f>$J$67</f>
        <v>EFL-TM-ESS-01(10)</v>
      </c>
    </row>
  </sheetData>
  <dataConsolidate/>
  <mergeCells count="27">
    <mergeCell ref="A143:C143"/>
    <mergeCell ref="A145:C145"/>
    <mergeCell ref="D148:D149"/>
    <mergeCell ref="D121:D122"/>
    <mergeCell ref="A123:C123"/>
    <mergeCell ref="D124:D125"/>
    <mergeCell ref="D127:D129"/>
    <mergeCell ref="A133:J133"/>
    <mergeCell ref="C138:G138"/>
    <mergeCell ref="D117:D119"/>
    <mergeCell ref="A41:J41"/>
    <mergeCell ref="A42:J42"/>
    <mergeCell ref="A51:H51"/>
    <mergeCell ref="A69:J69"/>
    <mergeCell ref="C74:G74"/>
    <mergeCell ref="D80:D89"/>
    <mergeCell ref="D91:D99"/>
    <mergeCell ref="D101:D102"/>
    <mergeCell ref="D104:D108"/>
    <mergeCell ref="D110:D112"/>
    <mergeCell ref="D114:D115"/>
    <mergeCell ref="A38:H38"/>
    <mergeCell ref="A1:J1"/>
    <mergeCell ref="C7:G7"/>
    <mergeCell ref="A12:J12"/>
    <mergeCell ref="A27:J27"/>
    <mergeCell ref="A28:J28"/>
  </mergeCells>
  <conditionalFormatting sqref="H15 H17 H19 H21 H23 H25">
    <cfRule type="expression" dxfId="2" priority="1">
      <formula>AND($H15=0,$E15&gt;0)=TRUE</formula>
    </cfRule>
  </conditionalFormatting>
  <dataValidations count="13">
    <dataValidation type="list" allowBlank="1" showInputMessage="1" showErrorMessage="1" promptTitle="Select Schedule Type " prompt="Select Schedule or Option " sqref="I7" xr:uid="{00000000-0002-0000-0700-000000000000}">
      <formula1>", Schedule: , Option: "</formula1>
    </dataValidation>
    <dataValidation allowBlank="1" showErrorMessage="1" promptTitle="Enter project name" prompt="Example:  Pinto Basin Road" sqref="C7:G7" xr:uid="{00000000-0002-0000-0700-000001000000}"/>
    <dataValidation type="list" allowBlank="1" showErrorMessage="1" error="Please use the drop-down menu to select the project units" promptTitle="Select Units" prompt="Select Metric or US Customary" sqref="J9" xr:uid="{00000000-0002-0000-0700-000002000000}">
      <formula1>"METRIC, US CUSTOMARY"</formula1>
    </dataValidation>
    <dataValidation type="list" showInputMessage="1" showErrorMessage="1" error="Please use drop-down menu to select a schedule letter" promptTitle="Choose Letter" prompt="If you need more than six schedules, then copy addtional sheet tabs and calculate incentives separately for each schedule._x000a__x000a_Sheets tabs can be copied by left clicking the acitve tab and choosing 'Move or Copy', then clicking the 'Create Copy' checkbox." sqref="J7" xr:uid="{00000000-0002-0000-0700-000003000000}">
      <formula1>"  , A, B, C, D, E, F, G, W, X, Y, Z"</formula1>
    </dataValidation>
    <dataValidation type="whole" operator="greaterThanOrEqual" allowBlank="1" showInputMessage="1" showErrorMessage="1" error="Bid decimals set to zero._x000a__x000a_Contact Heidi Hirsbrunner (X3622)_x000a_                _x000a_to modify Incentive Spreadsheet." sqref="E31 E33:E35" xr:uid="{00000000-0002-0000-0700-000004000000}">
      <formula1>0</formula1>
    </dataValidation>
    <dataValidation type="whole" operator="greaterThanOrEqual" allowBlank="1" showInputMessage="1" showErrorMessage="1" error="Bid decimals set to zero._x000a__x000a_Contact Heidi Hirsbrunner (X3622)_x000a__x000a_to modify Incentive Spreadsheet." sqref="E110:E112 E114:E115 E117:E119 E121:E122 E124:E125 E127:E129 E144 E146 E148:E149" xr:uid="{00000000-0002-0000-0700-000005000000}">
      <formula1>0</formula1>
    </dataValidation>
    <dataValidation type="whole" operator="greaterThanOrEqual" allowBlank="1" showInputMessage="1" showErrorMessage="1" error="Bid decimals set to zero._x000a__x000a_Contact Heidi Hirsbrunner (X3622)_x000a_                 _x000a_to modify Incentive Spreadsheet." sqref="E101:E102" xr:uid="{00000000-0002-0000-0700-000006000000}">
      <formula1>0</formula1>
    </dataValidation>
    <dataValidation type="whole" operator="greaterThanOrEqual" allowBlank="1" showInputMessage="1" showErrorMessage="1" error="Bid decimals set to zero._x000a__x000a_Contact Heidi Hirsbrunner (X3622) _x000a__x000a_to modify Incentive Spreadsheet." sqref="E91:E99" xr:uid="{00000000-0002-0000-0700-000007000000}">
      <formula1>0</formula1>
    </dataValidation>
    <dataValidation type="whole" operator="greaterThanOrEqual" allowBlank="1" showInputMessage="1" showErrorMessage="1" error="Bid decimals set to zero._x000a__x000a_Contact Heidi Hirsbrunner (X3622)_x000a_                   _x000a_to modify Incentive Spreadsheet." sqref="E80:E89 E104:E108" xr:uid="{00000000-0002-0000-0700-000008000000}">
      <formula1>0</formula1>
    </dataValidation>
    <dataValidation allowBlank="1" showErrorMessage="1" sqref="C83 C5 D5 E3 H7" xr:uid="{00000000-0002-0000-0700-000009000000}"/>
    <dataValidation allowBlank="1" sqref="C72:D72 C136:D136" xr:uid="{00000000-0002-0000-0700-00000A000000}"/>
    <dataValidation type="whole" operator="greaterThanOrEqual" allowBlank="1" showInputMessage="1" showErrorMessage="1" error="Bid decimals set to zero._x000a__x000a_Contact Steve Chapman (X7801)_x000a_                   or_x000a_    Greg Kwock (X7987)_x000a__x000a_to modify Incentive Spreadsheet." sqref="E130:E132 E36" xr:uid="{00000000-0002-0000-0700-00000B000000}">
      <formula1>0</formula1>
    </dataValidation>
    <dataValidation allowBlank="1" showInputMessage="1" showErrorMessage="1" prompt="If your Q_Ton unit price is highlighted in red, ensure quantity and unit price have both been entered, then check the line item in the &quot;inputSchA&quot; tab to review further instructions. " sqref="H15 H17 H19 H21 H23 H25" xr:uid="{00000000-0002-0000-0700-00000C000000}"/>
  </dataValidations>
  <printOptions horizontalCentered="1"/>
  <pageMargins left="0.7" right="0.7" top="0.75" bottom="0.75" header="0.3" footer="0.3"/>
  <pageSetup scale="75" fitToHeight="0" orientation="portrait" r:id="rId1"/>
  <rowBreaks count="1" manualBreakCount="1">
    <brk id="67" max="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D000000}">
          <x14:formula1>
            <xm:f>inputSchD!$A$2:$A$105</xm:f>
          </x14:formula1>
          <xm:sqref>C15 C17 C19 C21 C23 C25</xm:sqref>
        </x14:dataValidation>
        <x14:dataValidation type="list" allowBlank="1" showInputMessage="1" showErrorMessage="1" xr:uid="{00000000-0002-0000-0700-00000E000000}">
          <x14:formula1>
            <xm:f>inputSchD!$A$134:$A$150</xm:f>
          </x14:formula1>
          <xm:sqref>A45 A47 A49</xm:sqref>
        </x14:dataValidation>
        <x14:dataValidation type="list" allowBlank="1" showInputMessage="1" showErrorMessage="1" xr:uid="{00000000-0002-0000-0700-00000F000000}">
          <x14:formula1>
            <xm:f>inputSchD!$A$106:$A$134</xm:f>
          </x14:formula1>
          <xm:sqref>C31 C33 C35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0"/>
  <sheetViews>
    <sheetView workbookViewId="0">
      <pane xSplit="3" ySplit="1" topLeftCell="D80" activePane="bottomRight" state="frozen"/>
      <selection activeCell="F3" sqref="F3"/>
      <selection pane="topRight" activeCell="F3" sqref="F3"/>
      <selection pane="bottomLeft" activeCell="F3" sqref="F3"/>
      <selection pane="bottomRight" activeCell="I104" sqref="I104"/>
    </sheetView>
  </sheetViews>
  <sheetFormatPr defaultRowHeight="14.4" x14ac:dyDescent="0.3"/>
  <cols>
    <col min="1" max="1" width="10.88671875" customWidth="1"/>
    <col min="2" max="2" width="62.21875" customWidth="1"/>
    <col min="3" max="3" width="8.109375" customWidth="1"/>
    <col min="6" max="6" width="14.6640625" customWidth="1"/>
  </cols>
  <sheetData>
    <row r="1" spans="1:6" x14ac:dyDescent="0.3">
      <c r="A1" s="332" t="s">
        <v>176</v>
      </c>
      <c r="B1" s="332" t="s">
        <v>311</v>
      </c>
      <c r="C1" s="333" t="s">
        <v>312</v>
      </c>
      <c r="D1" s="344" t="s">
        <v>9</v>
      </c>
      <c r="E1" s="344" t="s">
        <v>0</v>
      </c>
      <c r="F1" s="333" t="s">
        <v>315</v>
      </c>
    </row>
    <row r="2" spans="1:6" x14ac:dyDescent="0.3">
      <c r="A2" s="326" t="s">
        <v>189</v>
      </c>
      <c r="B2" s="326" t="s">
        <v>246</v>
      </c>
      <c r="C2" s="328" t="s">
        <v>247</v>
      </c>
      <c r="D2" s="345" t="str">
        <f>IFERROR(VLOOKUP($A2,'SCH D'!$C$15:$E$25,3,FALSE),"")</f>
        <v/>
      </c>
      <c r="E2" s="360" t="str">
        <f>IFERROR(VLOOKUP($A2,'SCH D'!$C$15:$G$25,5,FALSE),"")</f>
        <v/>
      </c>
      <c r="F2" s="26" t="e">
        <f>IF(AND(D2&gt;=3000,D2&lt;6000),ROUND(E2*0.01,2),IF(AND(D2&gt;=6000,D2&lt;7000),ROUND(E2*0.03,2),IF(AND(D2&gt;=7000,D2&lt;8000),ROUND(E2*0.04,2),IF(AND(D2&gt;=8000),ROUND(E2*0.05,2),"-"))))</f>
        <v>#VALUE!</v>
      </c>
    </row>
    <row r="3" spans="1:6" x14ac:dyDescent="0.3">
      <c r="A3" s="327" t="s">
        <v>190</v>
      </c>
      <c r="B3" s="327" t="s">
        <v>248</v>
      </c>
      <c r="C3" s="329" t="s">
        <v>247</v>
      </c>
      <c r="D3" s="345" t="str">
        <f>IFERROR(VLOOKUP($A3,'SCH D'!$C$15:$E$25,3,FALSE),"")</f>
        <v/>
      </c>
      <c r="E3" s="360" t="str">
        <f>IFERROR(VLOOKUP($A3,'SCH D'!$C$15:$G$25,5,FALSE),"")</f>
        <v/>
      </c>
      <c r="F3" s="26" t="e">
        <f t="shared" ref="F3:F6" si="0">IF(AND(D3&gt;=3000,D3&lt;6000),ROUND(E3*0.01,2),IF(AND(D3&gt;=6000,D3&lt;7000),ROUND(E3*0.03,2),IF(AND(D3&gt;=7000,D3&lt;8000),ROUND(E3*0.04,2),IF(AND(D3&gt;=8000),ROUND(E3*0.05,2),"-"))))</f>
        <v>#VALUE!</v>
      </c>
    </row>
    <row r="4" spans="1:6" x14ac:dyDescent="0.3">
      <c r="A4" s="326" t="s">
        <v>191</v>
      </c>
      <c r="B4" s="326" t="s">
        <v>249</v>
      </c>
      <c r="C4" s="328" t="s">
        <v>247</v>
      </c>
      <c r="D4" s="345" t="str">
        <f>IFERROR(VLOOKUP($A4,'SCH D'!$C$15:$E$25,3,FALSE),"")</f>
        <v/>
      </c>
      <c r="E4" s="360" t="str">
        <f>IFERROR(VLOOKUP($A4,'SCH D'!$C$15:$G$25,5,FALSE),"")</f>
        <v/>
      </c>
      <c r="F4" s="26" t="e">
        <f t="shared" si="0"/>
        <v>#VALUE!</v>
      </c>
    </row>
    <row r="5" spans="1:6" x14ac:dyDescent="0.3">
      <c r="A5" s="327" t="s">
        <v>192</v>
      </c>
      <c r="B5" s="327" t="s">
        <v>250</v>
      </c>
      <c r="C5" s="329" t="s">
        <v>247</v>
      </c>
      <c r="D5" s="345" t="str">
        <f>IFERROR(VLOOKUP($A5,'SCH D'!$C$15:$E$25,3,FALSE),"")</f>
        <v/>
      </c>
      <c r="E5" s="360" t="str">
        <f>IFERROR(VLOOKUP($A5,'SCH D'!$C$15:$G$25,5,FALSE),"")</f>
        <v/>
      </c>
      <c r="F5" s="26" t="e">
        <f t="shared" si="0"/>
        <v>#VALUE!</v>
      </c>
    </row>
    <row r="6" spans="1:6" x14ac:dyDescent="0.3">
      <c r="A6" s="326" t="s">
        <v>193</v>
      </c>
      <c r="B6" s="326" t="s">
        <v>251</v>
      </c>
      <c r="C6" s="328" t="s">
        <v>247</v>
      </c>
      <c r="D6" s="345" t="str">
        <f>IFERROR(VLOOKUP($A6,'SCH D'!$C$15:$E$25,3,FALSE),"")</f>
        <v/>
      </c>
      <c r="E6" s="360" t="str">
        <f>IFERROR(VLOOKUP($A6,'SCH D'!$C$15:$G$25,5,FALSE),"")</f>
        <v/>
      </c>
      <c r="F6" s="26" t="e">
        <f t="shared" si="0"/>
        <v>#VALUE!</v>
      </c>
    </row>
    <row r="7" spans="1:6" x14ac:dyDescent="0.3">
      <c r="A7" s="327" t="s">
        <v>194</v>
      </c>
      <c r="B7" s="327" t="s">
        <v>246</v>
      </c>
      <c r="C7" s="329" t="s">
        <v>46</v>
      </c>
      <c r="D7" s="345" t="str">
        <f>IFERROR(VLOOKUP($A7,'SCH D'!$C$15:$E$25,3,FALSE),"")</f>
        <v/>
      </c>
      <c r="E7" s="360" t="str">
        <f>IFERROR(VLOOKUP($A7,'SCH D'!$C$15:$G$25,5,FALSE),"")</f>
        <v/>
      </c>
      <c r="F7" s="346"/>
    </row>
    <row r="8" spans="1:6" x14ac:dyDescent="0.3">
      <c r="A8" s="326" t="s">
        <v>195</v>
      </c>
      <c r="B8" s="326" t="s">
        <v>252</v>
      </c>
      <c r="C8" s="328" t="s">
        <v>46</v>
      </c>
      <c r="D8" s="345" t="str">
        <f>IFERROR(VLOOKUP($A8,'SCH D'!$C$15:$E$25,3,FALSE),"")</f>
        <v/>
      </c>
      <c r="E8" s="360" t="str">
        <f>IFERROR(VLOOKUP($A8,'SCH D'!$C$15:$G$25,5,FALSE),"")</f>
        <v/>
      </c>
      <c r="F8" s="26" t="e">
        <f>IF(AND(D8&gt;=14285.71,D8&lt;28571.43),ROUND(E8*0.01,2),IF(AND(D8&gt;=28571.43,D8&lt;33333.33),ROUND(E8*0.03,2),IF(AND(D8&gt;=33333.33,D8&lt;38095.24),ROUND(E8*0.04,2),IF(AND(D8&gt;=38095.24),ROUND(E8*0.05,2),"-"))))</f>
        <v>#VALUE!</v>
      </c>
    </row>
    <row r="9" spans="1:6" x14ac:dyDescent="0.3">
      <c r="A9" s="327" t="s">
        <v>196</v>
      </c>
      <c r="B9" s="327" t="s">
        <v>253</v>
      </c>
      <c r="C9" s="329" t="s">
        <v>46</v>
      </c>
      <c r="D9" s="345" t="str">
        <f>IFERROR(VLOOKUP($A9,'SCH D'!$C$15:$E$25,3,FALSE),"")</f>
        <v/>
      </c>
      <c r="E9" s="360" t="str">
        <f>IFERROR(VLOOKUP($A9,'SCH D'!$C$15:$G$25,5,FALSE),"")</f>
        <v/>
      </c>
      <c r="F9" s="26" t="e">
        <f>IF(AND(D9&gt;=9523.81,D9&lt;19047.62),ROUND(E9*0.01,2),IF(AND(D9&gt;=19047.62,D9&lt;22222.22),ROUND(E9*0.03,2),IF(AND(D9&gt;=22222.22,D9&lt;25396.83),ROUND(E9*0.04,2),IF(AND(D9&gt;=25396.83),ROUND(E9*0.05,2),"-"))))</f>
        <v>#VALUE!</v>
      </c>
    </row>
    <row r="10" spans="1:6" x14ac:dyDescent="0.3">
      <c r="A10" s="326" t="s">
        <v>197</v>
      </c>
      <c r="B10" s="326" t="s">
        <v>254</v>
      </c>
      <c r="C10" s="328" t="s">
        <v>46</v>
      </c>
      <c r="D10" s="345" t="str">
        <f>IFERROR(VLOOKUP($A10,'SCH D'!$C$15:$E$25,3,FALSE),"")</f>
        <v/>
      </c>
      <c r="E10" s="360" t="str">
        <f>IFERROR(VLOOKUP($A10,'SCH D'!$C$15:$G$25,5,FALSE),"")</f>
        <v/>
      </c>
      <c r="F10" s="26" t="e">
        <f>IF(AND(D10&gt;=7142.86,D10&lt;14285.71),ROUND(E10*0.01,2),IF(AND(D10&gt;=14285.71,D10&lt;16666.67),ROUND(E10*0.03,2),IF(AND(D10&gt;=16666.67,D10&lt;19047.62),ROUND(E10*0.04,2),IF(AND(D10&gt;=19047.62),ROUND(E10*0.05,2),"-"))))</f>
        <v>#VALUE!</v>
      </c>
    </row>
    <row r="11" spans="1:6" x14ac:dyDescent="0.3">
      <c r="A11" s="327" t="s">
        <v>198</v>
      </c>
      <c r="B11" s="327" t="s">
        <v>255</v>
      </c>
      <c r="C11" s="329" t="s">
        <v>46</v>
      </c>
      <c r="D11" s="345" t="str">
        <f>IFERROR(VLOOKUP($A11,'SCH D'!$C$15:$E$25,3,FALSE),"")</f>
        <v/>
      </c>
      <c r="E11" s="360" t="str">
        <f>IFERROR(VLOOKUP($A11,'SCH D'!$C$15:$G$25,5,FALSE),"")</f>
        <v/>
      </c>
      <c r="F11" s="26" t="e">
        <f>IF(AND(D11&gt;=5714.29,D11&lt;11428.57),ROUND(E11*0.01,2),IF(AND(D11&gt;=11,428.57,D11&lt;13333.33),ROUND(E11*0.03,2),IF(AND(D11&gt;=13333.33,D11&lt;15238.1),ROUND(E11*0.04,2),IF(AND(D11&gt;=15238.1),ROUND(E11*0.05,2),"-"))))</f>
        <v>#VALUE!</v>
      </c>
    </row>
    <row r="12" spans="1:6" x14ac:dyDescent="0.3">
      <c r="A12" s="326" t="s">
        <v>199</v>
      </c>
      <c r="B12" s="326" t="s">
        <v>256</v>
      </c>
      <c r="C12" s="328" t="s">
        <v>46</v>
      </c>
      <c r="D12" s="345" t="str">
        <f>IFERROR(VLOOKUP($A12,'SCH D'!$C$15:$E$25,3,FALSE),"")</f>
        <v/>
      </c>
      <c r="E12" s="360" t="str">
        <f>IFERROR(VLOOKUP($A12,'SCH D'!$C$15:$G$25,5,FALSE),"")</f>
        <v/>
      </c>
      <c r="F12" s="26" t="e">
        <f>IF(AND(D12&gt;=4761.9,D12&lt;9523.81),ROUND(E12*0.01,2),IF(AND(D12&gt;=9523.81,D12&lt;11111.11),ROUND(E12*0.03,2),IF(AND(D12&gt;=11111.11,D12&lt;12698.41),ROUND(E12*0.04,2),IF(AND(D12&gt;=12698.41),ROUND(E12*0.05,2),"-"))))</f>
        <v>#VALUE!</v>
      </c>
    </row>
    <row r="13" spans="1:6" x14ac:dyDescent="0.3">
      <c r="A13" s="327" t="s">
        <v>200</v>
      </c>
      <c r="B13" s="327" t="s">
        <v>257</v>
      </c>
      <c r="C13" s="329" t="s">
        <v>46</v>
      </c>
      <c r="D13" s="345" t="str">
        <f>IFERROR(VLOOKUP($A13,'SCH D'!$C$15:$E$25,3,FALSE),"")</f>
        <v/>
      </c>
      <c r="E13" s="360" t="str">
        <f>IFERROR(VLOOKUP($A13,'SCH D'!$C$15:$G$25,5,FALSE),"")</f>
        <v/>
      </c>
      <c r="F13" s="26" t="e">
        <f>IF(AND(D13&gt;=14,285.71,D13&lt;28571.43),ROUND(E13*0.01,2),IF(AND(D13&gt;=28571.43,D13&lt;33333.33),ROUND(E13*0.03,2),IF(AND(D13&gt;=33333.33,D13&lt;38095.24),ROUND(E13*0.04,2),IF(AND(D13&gt;=38095.24),ROUND(E13*0.05,2),"-"))))</f>
        <v>#VALUE!</v>
      </c>
    </row>
    <row r="14" spans="1:6" x14ac:dyDescent="0.3">
      <c r="A14" s="326" t="s">
        <v>201</v>
      </c>
      <c r="B14" s="326" t="s">
        <v>258</v>
      </c>
      <c r="C14" s="328" t="s">
        <v>46</v>
      </c>
      <c r="D14" s="345" t="str">
        <f>IFERROR(VLOOKUP($A14,'SCH D'!$C$15:$E$25,3,FALSE),"")</f>
        <v/>
      </c>
      <c r="E14" s="360" t="str">
        <f>IFERROR(VLOOKUP($A14,'SCH D'!$C$15:$G$25,5,FALSE),"")</f>
        <v/>
      </c>
      <c r="F14" s="26" t="e">
        <f>IF(AND(D14&gt;=9523.81,D14&lt;19047.62),ROUND(E14*0.01,2),IF(AND(D14&gt;=19047.62,D14&lt;22222.22),ROUND(E14*0.03,2),IF(AND(D14&gt;=22222.22,D14&lt;25396.83),ROUND(E14*0.04,2),IF(AND(D14&gt;=25396.83),ROUND(E14*0.05,2),"-"))))</f>
        <v>#VALUE!</v>
      </c>
    </row>
    <row r="15" spans="1:6" x14ac:dyDescent="0.3">
      <c r="A15" s="327" t="s">
        <v>202</v>
      </c>
      <c r="B15" s="327" t="s">
        <v>259</v>
      </c>
      <c r="C15" s="329" t="s">
        <v>46</v>
      </c>
      <c r="D15" s="345" t="str">
        <f>IFERROR(VLOOKUP($A15,'SCH D'!$C$15:$E$25,3,FALSE),"")</f>
        <v/>
      </c>
      <c r="E15" s="360" t="str">
        <f>IFERROR(VLOOKUP($A15,'SCH D'!$C$15:$G$25,5,FALSE),"")</f>
        <v/>
      </c>
      <c r="F15" s="26" t="e">
        <f>IF(AND(D15&gt;=7142.86,D15&lt;14285.71),ROUND(E15*0.01,2),IF(AND(D15&gt;=14285.71,D15&lt;16666.67),ROUND(E15*0.03,2),IF(AND(D15&gt;=16666.67,D15&lt;19047.62),ROUND(E15*0.04,2),IF(AND(D15&gt;=19047.62),ROUND(E15*0.05,2),"-"))))</f>
        <v>#VALUE!</v>
      </c>
    </row>
    <row r="16" spans="1:6" x14ac:dyDescent="0.3">
      <c r="A16" s="326" t="s">
        <v>203</v>
      </c>
      <c r="B16" s="326" t="s">
        <v>260</v>
      </c>
      <c r="C16" s="328" t="s">
        <v>46</v>
      </c>
      <c r="D16" s="345" t="str">
        <f>IFERROR(VLOOKUP($A16,'SCH D'!$C$15:$E$25,3,FALSE),"")</f>
        <v/>
      </c>
      <c r="E16" s="360" t="str">
        <f>IFERROR(VLOOKUP($A16,'SCH D'!$C$15:$G$25,5,FALSE),"")</f>
        <v/>
      </c>
      <c r="F16" s="26" t="e">
        <f>IF(AND(D16&gt;=5714.29,D16&lt;11428.57),ROUND(E16*0.01,2),IF(AND(D16&gt;=11,428.57,D16&lt;13333.33),ROUND(E16*0.03,2),IF(AND(D16&gt;=13333.33,D16&lt;15238.1),ROUND(E16*0.04,2),IF(AND(D16&gt;=15238.1),ROUND(E16*0.05,2),"-"))))</f>
        <v>#VALUE!</v>
      </c>
    </row>
    <row r="17" spans="1:6" x14ac:dyDescent="0.3">
      <c r="A17" s="327" t="s">
        <v>204</v>
      </c>
      <c r="B17" s="327" t="s">
        <v>261</v>
      </c>
      <c r="C17" s="329" t="s">
        <v>46</v>
      </c>
      <c r="D17" s="345" t="str">
        <f>IFERROR(VLOOKUP($A17,'SCH D'!$C$15:$E$25,3,FALSE),"")</f>
        <v/>
      </c>
      <c r="E17" s="360" t="str">
        <f>IFERROR(VLOOKUP($A17,'SCH D'!$C$15:$G$25,5,FALSE),"")</f>
        <v/>
      </c>
      <c r="F17" s="26" t="e">
        <f>IF(AND(D17&gt;=4761.9,D17&lt;9523.81),ROUND(E17*0.01,2),IF(AND(D17&gt;=9523.81,D17&lt;11111.11),ROUND(E17*0.03,2),IF(AND(D17&gt;=11111.11,D17&lt;12698.41),ROUND(E17*0.04,2),IF(AND(D17&gt;=12698.41),ROUND(E17*0.05,2),"-"))))</f>
        <v>#VALUE!</v>
      </c>
    </row>
    <row r="18" spans="1:6" x14ac:dyDescent="0.3">
      <c r="A18" s="326" t="s">
        <v>205</v>
      </c>
      <c r="B18" s="326" t="s">
        <v>262</v>
      </c>
      <c r="C18" s="328" t="s">
        <v>46</v>
      </c>
      <c r="D18" s="345" t="str">
        <f>IFERROR(VLOOKUP($A18,'SCH D'!$C$15:$E$25,3,FALSE),"")</f>
        <v/>
      </c>
      <c r="E18" s="360" t="str">
        <f>IFERROR(VLOOKUP($A18,'SCH D'!$C$15:$G$25,5,FALSE),"")</f>
        <v/>
      </c>
      <c r="F18" s="26" t="e">
        <f>IF(AND(D18&gt;=14285.71,D18&lt;28571.43),ROUND(E18*0.01,2),IF(AND(D18&gt;=28571.43,D18&lt;33333.33),ROUND(E18*0.03,2),IF(AND(D18&gt;=33333.33,D18&lt;38095.24),ROUND(E18*0.04,2),IF(AND(D18&gt;=38095.24),ROUND(E18*0.05,2),"-"))))</f>
        <v>#VALUE!</v>
      </c>
    </row>
    <row r="19" spans="1:6" x14ac:dyDescent="0.3">
      <c r="A19" s="327" t="s">
        <v>206</v>
      </c>
      <c r="B19" s="327" t="s">
        <v>263</v>
      </c>
      <c r="C19" s="329" t="s">
        <v>46</v>
      </c>
      <c r="D19" s="345" t="str">
        <f>IFERROR(VLOOKUP($A19,'SCH D'!$C$15:$E$25,3,FALSE),"")</f>
        <v/>
      </c>
      <c r="E19" s="360" t="str">
        <f>IFERROR(VLOOKUP($A19,'SCH D'!$C$15:$G$25,5,FALSE),"")</f>
        <v/>
      </c>
      <c r="F19" s="26" t="e">
        <f>IF(AND(D19&gt;=9523.81,D19&lt;19047.62),ROUND(E19*0.01,2),IF(AND(D19&gt;=19047.62,D19&lt;22222.22),ROUND(E19*0.03,2),IF(AND(D19&gt;=22222.22,D19&lt;25396.83),ROUND(E19*0.04,2),IF(AND(D19&gt;=25396.83),ROUND(E19*0.05,2),"-"))))</f>
        <v>#VALUE!</v>
      </c>
    </row>
    <row r="20" spans="1:6" x14ac:dyDescent="0.3">
      <c r="A20" s="326" t="s">
        <v>207</v>
      </c>
      <c r="B20" s="326" t="s">
        <v>264</v>
      </c>
      <c r="C20" s="328" t="s">
        <v>46</v>
      </c>
      <c r="D20" s="345" t="str">
        <f>IFERROR(VLOOKUP($A20,'SCH D'!$C$15:$E$25,3,FALSE),"")</f>
        <v/>
      </c>
      <c r="E20" s="360" t="str">
        <f>IFERROR(VLOOKUP($A20,'SCH D'!$C$15:$G$25,5,FALSE),"")</f>
        <v/>
      </c>
      <c r="F20" s="26" t="e">
        <f>IF(AND(D20&gt;=7142.86,D20&lt;14285.71),ROUND(E20*0.01,2),IF(AND(D20&gt;=14285.71,D20&lt;16666.67),ROUND(E20*0.03,2),IF(AND(D20&gt;=16666.67,D20&lt;19047.62),ROUND(E20*0.04,2),IF(AND(D20&gt;=19047.62),ROUND(E20*0.05,2),"-"))))</f>
        <v>#VALUE!</v>
      </c>
    </row>
    <row r="21" spans="1:6" x14ac:dyDescent="0.3">
      <c r="A21" s="327" t="s">
        <v>208</v>
      </c>
      <c r="B21" s="327" t="s">
        <v>265</v>
      </c>
      <c r="C21" s="329" t="s">
        <v>46</v>
      </c>
      <c r="D21" s="345" t="str">
        <f>IFERROR(VLOOKUP($A21,'SCH D'!$C$15:$E$25,3,FALSE),"")</f>
        <v/>
      </c>
      <c r="E21" s="360" t="str">
        <f>IFERROR(VLOOKUP($A21,'SCH D'!$C$15:$G$25,5,FALSE),"")</f>
        <v/>
      </c>
      <c r="F21" s="26" t="e">
        <f>IF(AND(D21&gt;=5714.29,D21&lt;11428.57),ROUND(E21*0.01,2),IF(AND(D21&gt;=11,428.57,D21&lt;13333.33),ROUND(E21*0.03,2),IF(AND(D21&gt;=13333.33,D21&lt;15238.1),ROUND(E21*0.04,2),IF(AND(D21&gt;=15238.1),ROUND(E21*0.05,2),"-"))))</f>
        <v>#VALUE!</v>
      </c>
    </row>
    <row r="22" spans="1:6" x14ac:dyDescent="0.3">
      <c r="A22" s="326" t="s">
        <v>209</v>
      </c>
      <c r="B22" s="326" t="s">
        <v>266</v>
      </c>
      <c r="C22" s="328" t="s">
        <v>46</v>
      </c>
      <c r="D22" s="345" t="str">
        <f>IFERROR(VLOOKUP($A22,'SCH D'!$C$15:$E$25,3,FALSE),"")</f>
        <v/>
      </c>
      <c r="E22" s="360" t="str">
        <f>IFERROR(VLOOKUP($A22,'SCH D'!$C$15:$G$25,5,FALSE),"")</f>
        <v/>
      </c>
      <c r="F22" s="26" t="e">
        <f>IF(AND(D22&gt;=4761.9,D22&lt;9523.81),ROUND(E22*0.01,2),IF(AND(D22&gt;=9523.81,D22&lt;11111.11),ROUND(E22*0.03,2),IF(AND(D22&gt;=11111.11,D22&lt;12698.41),ROUND(E22*0.04,2),IF(AND(D22&gt;=12698.41),ROUND(E22*0.05,2),"-"))))</f>
        <v>#VALUE!</v>
      </c>
    </row>
    <row r="23" spans="1:6" x14ac:dyDescent="0.3">
      <c r="A23" s="327" t="s">
        <v>210</v>
      </c>
      <c r="B23" s="327" t="s">
        <v>267</v>
      </c>
      <c r="C23" s="329" t="s">
        <v>46</v>
      </c>
      <c r="D23" s="345" t="str">
        <f>IFERROR(VLOOKUP($A23,'SCH D'!$C$15:$E$25,3,FALSE),"")</f>
        <v/>
      </c>
      <c r="E23" s="360" t="str">
        <f>IFERROR(VLOOKUP($A23,'SCH D'!$C$15:$G$25,5,FALSE),"")</f>
        <v/>
      </c>
      <c r="F23" s="26" t="e">
        <f>IF(AND(D23&gt;=28571.43,D23&lt;57142.86),ROUND(E23*0.01,2),IF(AND(D23&gt;=57142.86,D23&lt;66666.67),ROUND(E23*0.03,2),IF(AND(D23&gt;=66666.67,D23&lt;76190.48),ROUND(E23*0.04,2),IF(AND(D23&gt;=76190.48),ROUND(E23*0.05,2),"-"))))</f>
        <v>#VALUE!</v>
      </c>
    </row>
    <row r="24" spans="1:6" x14ac:dyDescent="0.3">
      <c r="A24" s="326" t="s">
        <v>211</v>
      </c>
      <c r="B24" s="326" t="s">
        <v>268</v>
      </c>
      <c r="C24" s="328" t="s">
        <v>46</v>
      </c>
      <c r="D24" s="345" t="str">
        <f>IFERROR(VLOOKUP($A24,'SCH D'!$C$15:$E$25,3,FALSE),"")</f>
        <v/>
      </c>
      <c r="E24" s="360" t="str">
        <f>IFERROR(VLOOKUP($A24,'SCH D'!$C$15:$G$25,5,FALSE),"")</f>
        <v/>
      </c>
      <c r="F24" s="26" t="e">
        <f>IF(AND(D24&gt;=19047.62,D24&lt;38095.24),ROUND(E24*0.01,2),IF(AND(D24&gt;=38095.24,D24&lt;44444.44),ROUND(E24*0.03,2),IF(AND(D24&gt;=44444.44,D24&lt;50793.65),ROUND(E24*0.04,2),IF(AND(D24&gt;=50793.65),ROUND(E24*0.05,2),"-"))))</f>
        <v>#VALUE!</v>
      </c>
    </row>
    <row r="25" spans="1:6" x14ac:dyDescent="0.3">
      <c r="A25" s="327" t="s">
        <v>212</v>
      </c>
      <c r="B25" s="327" t="s">
        <v>269</v>
      </c>
      <c r="C25" s="329" t="s">
        <v>46</v>
      </c>
      <c r="D25" s="345" t="str">
        <f>IFERROR(VLOOKUP($A25,'SCH D'!$C$15:$E$25,3,FALSE),"")</f>
        <v/>
      </c>
      <c r="E25" s="360" t="str">
        <f>IFERROR(VLOOKUP($A25,'SCH D'!$C$15:$G$25,5,FALSE),"")</f>
        <v/>
      </c>
      <c r="F25" s="26" t="e">
        <f>IF(AND(D25&gt;=14285.71,D25&lt;28571.43),ROUND(E25*0.01,2),IF(AND(D25&gt;=28571.43,D25&lt;33333.33),ROUND(E25*0.03,2),IF(AND(D25&gt;=33333.33,D25&lt;38095.24),ROUND(E25*0.04,2),IF(AND(D25&gt;=38095.24),ROUND(E25*0.05,2),"-"))))</f>
        <v>#VALUE!</v>
      </c>
    </row>
    <row r="26" spans="1:6" x14ac:dyDescent="0.3">
      <c r="A26" s="326" t="s">
        <v>213</v>
      </c>
      <c r="B26" s="326" t="s">
        <v>270</v>
      </c>
      <c r="C26" s="328" t="s">
        <v>46</v>
      </c>
      <c r="D26" s="345" t="str">
        <f>IFERROR(VLOOKUP($A26,'SCH D'!$C$15:$E$25,3,FALSE),"")</f>
        <v/>
      </c>
      <c r="E26" s="360" t="str">
        <f>IFERROR(VLOOKUP($A26,'SCH D'!$C$15:$G$25,5,FALSE),"")</f>
        <v/>
      </c>
      <c r="F26" s="26" t="e">
        <f>IF(AND(D26&gt;=11428.57,D26&lt;22857.14),ROUND(E26*0.01,2),IF(AND(D26&gt;=22857.14,D26&lt;26666.67),ROUND(E26*0.03,2),IF(AND(D26&gt;=26666.67,D26&lt;30476.19),ROUND(E26*0.04,2),IF(AND(D26&gt;=30476.19),ROUND(E26*0.05,2),"-"))))</f>
        <v>#VALUE!</v>
      </c>
    </row>
    <row r="27" spans="1:6" x14ac:dyDescent="0.3">
      <c r="A27" s="327" t="s">
        <v>214</v>
      </c>
      <c r="B27" s="327" t="s">
        <v>271</v>
      </c>
      <c r="C27" s="329" t="s">
        <v>46</v>
      </c>
      <c r="D27" s="345" t="str">
        <f>IFERROR(VLOOKUP($A27,'SCH D'!$C$15:$E$25,3,FALSE),"")</f>
        <v/>
      </c>
      <c r="E27" s="360" t="str">
        <f>IFERROR(VLOOKUP($A27,'SCH D'!$C$15:$G$25,5,FALSE),"")</f>
        <v/>
      </c>
      <c r="F27" s="26" t="e">
        <f>IF(AND(D27&gt;=9523.81,D27&lt;19047.62),ROUND(E27*0.01,2),IF(AND(D27&gt;=19047.62,D27&lt;22222.22),ROUND(E27*0.03,2),IF(AND(D27&gt;=22222.22,D27&lt;25396.83),ROUND(E27*0.04,2),IF(AND(D27&gt;=25396.83),ROUND(E27*0.05,2),"-"))))</f>
        <v>#VALUE!</v>
      </c>
    </row>
    <row r="28" spans="1:6" x14ac:dyDescent="0.3">
      <c r="A28" s="326" t="s">
        <v>215</v>
      </c>
      <c r="B28" s="326" t="s">
        <v>272</v>
      </c>
      <c r="C28" s="328" t="s">
        <v>46</v>
      </c>
      <c r="D28" s="345" t="str">
        <f>IFERROR(VLOOKUP($A28,'SCH D'!$C$15:$E$25,3,FALSE),"")</f>
        <v/>
      </c>
      <c r="E28" s="360" t="str">
        <f>IFERROR(VLOOKUP($A28,'SCH D'!$C$15:$G$25,5,FALSE),"")</f>
        <v/>
      </c>
      <c r="F28" s="26" t="e">
        <f>IF(AND(D28&gt;=7142.86,D28&lt;14285.71),ROUND(E28*0.01,2),IF(AND(D28&gt;=14285.71,D28&lt;16666.67),ROUND(E28*0.03,2),IF(AND(D28&gt;=16666.67,D28&lt;19047.62),ROUND(E28*0.04,2),IF(AND(D28&gt;=19047.62),ROUND(E28*0.05,2),"-"))))</f>
        <v>#VALUE!</v>
      </c>
    </row>
    <row r="29" spans="1:6" x14ac:dyDescent="0.3">
      <c r="A29" s="327" t="s">
        <v>216</v>
      </c>
      <c r="B29" s="327" t="s">
        <v>273</v>
      </c>
      <c r="C29" s="329" t="s">
        <v>46</v>
      </c>
      <c r="D29" s="345" t="str">
        <f>IFERROR(VLOOKUP($A29,'SCH D'!$C$15:$E$25,3,FALSE),"")</f>
        <v/>
      </c>
      <c r="E29" s="360" t="str">
        <f>IFERROR(VLOOKUP($A29,'SCH D'!$C$15:$G$25,5,FALSE),"")</f>
        <v/>
      </c>
      <c r="F29" s="26" t="e">
        <f>IF(AND(D29&gt;=6349.21,D29&lt;12698.41),ROUND(E29*0.01,2),IF(AND(D29&gt;=12698.41,D29&lt;14814.81),ROUND(E29*0.03,2),IF(AND(D29&gt;=14814.81,D29&lt;16931.22),ROUND(E29*0.04,2),IF(AND(D29&gt;=16931.22),ROUND(E29*0.05,2),"-"))))</f>
        <v>#VALUE!</v>
      </c>
    </row>
    <row r="30" spans="1:6" x14ac:dyDescent="0.3">
      <c r="A30" s="326" t="s">
        <v>217</v>
      </c>
      <c r="B30" s="326" t="s">
        <v>274</v>
      </c>
      <c r="C30" s="328" t="s">
        <v>46</v>
      </c>
      <c r="D30" s="345" t="str">
        <f>IFERROR(VLOOKUP($A30,'SCH D'!$C$15:$E$25,3,FALSE),"")</f>
        <v/>
      </c>
      <c r="E30" s="360" t="str">
        <f>IFERROR(VLOOKUP($A30,'SCH D'!$C$15:$G$25,5,FALSE),"")</f>
        <v/>
      </c>
      <c r="F30" s="26" t="e">
        <f>IF(AND(D30&gt;=5714.29,D30&lt;11428.57),ROUND(E30*0.01,2),IF(AND(D30&gt;=11,428.57,D30&lt;13333.33),ROUND(E30*0.03,2),IF(AND(D30&gt;=13333.33,D30&lt;15238.1),ROUND(E30*0.04,2),IF(AND(D30&gt;=15238.1),ROUND(E30*0.05,2),"-"))))</f>
        <v>#VALUE!</v>
      </c>
    </row>
    <row r="31" spans="1:6" x14ac:dyDescent="0.3">
      <c r="A31" s="327" t="s">
        <v>218</v>
      </c>
      <c r="B31" s="327" t="s">
        <v>275</v>
      </c>
      <c r="C31" s="329" t="s">
        <v>46</v>
      </c>
      <c r="D31" s="345" t="str">
        <f>IFERROR(VLOOKUP($A31,'SCH D'!$C$15:$E$25,3,FALSE),"")</f>
        <v/>
      </c>
      <c r="E31" s="360" t="str">
        <f>IFERROR(VLOOKUP($A31,'SCH D'!$C$15:$G$25,5,FALSE),"")</f>
        <v/>
      </c>
      <c r="F31" s="26" t="e">
        <f>IF(AND(D31&gt;=4761.9,D31&lt;9523.81),ROUND(E31*0.01,2),IF(AND(D31&gt;=9523.81,D31&lt;11111.11),ROUND(E31*0.03,2),IF(AND(D31&gt;=11111.11,D31&lt;12698.41),ROUND(E31*0.04,2),IF(AND(D31&gt;=12698.41),ROUND(E31*0.05,2),"-"))))</f>
        <v>#VALUE!</v>
      </c>
    </row>
    <row r="32" spans="1:6" x14ac:dyDescent="0.3">
      <c r="A32" s="326" t="s">
        <v>219</v>
      </c>
      <c r="B32" s="326" t="s">
        <v>276</v>
      </c>
      <c r="C32" s="328" t="s">
        <v>46</v>
      </c>
      <c r="D32" s="345" t="str">
        <f>IFERROR(VLOOKUP($A32,'SCH D'!$C$15:$E$25,3,FALSE),"")</f>
        <v/>
      </c>
      <c r="E32" s="360" t="str">
        <f>IFERROR(VLOOKUP($A32,'SCH D'!$C$15:$G$25,5,FALSE),"")</f>
        <v/>
      </c>
      <c r="F32" s="26" t="e">
        <f>IF(AND(D32&gt;=3571.43,D32&lt;7142.86),ROUND(E32*0.01,2),IF(AND(D32&gt;=7142.86,D32&lt;8333.34),ROUND(E32*0.03,2),IF(AND(D32&gt;=8333.34,D32&lt;9523.81),ROUND(E32*0.04,2),IF(AND(D32&gt;=9523.81),ROUND(E32*0.05,2),"-"))))</f>
        <v>#VALUE!</v>
      </c>
    </row>
    <row r="33" spans="1:6" x14ac:dyDescent="0.3">
      <c r="A33" s="327" t="s">
        <v>220</v>
      </c>
      <c r="B33" s="327" t="s">
        <v>246</v>
      </c>
      <c r="C33" s="329" t="s">
        <v>277</v>
      </c>
      <c r="D33" s="345" t="str">
        <f>IFERROR(VLOOKUP($A33,'SCH D'!$C$15:$E$25,3,FALSE),"")</f>
        <v/>
      </c>
      <c r="E33" s="360" t="str">
        <f>IFERROR(VLOOKUP($A33,'SCH D'!$C$15:$G$25,5,FALSE),"")</f>
        <v/>
      </c>
      <c r="F33" s="26" t="e">
        <f>IF(AND(D34&gt;=1587.3,D34&lt;3174.6),ROUND(E34*0.01,2),IF(AND(D34&gt;=3174.6,D34&lt;3703.7),ROUND(E34*0.03,2),IF(AND(D34&gt;=3703.7,D34&lt;4232.8),ROUND(E34*0.04,2),IF(AND(D34&gt;=4232.8),ROUND(E34*0.05,2),"-"))))</f>
        <v>#VALUE!</v>
      </c>
    </row>
    <row r="34" spans="1:6" x14ac:dyDescent="0.3">
      <c r="A34" s="326" t="s">
        <v>221</v>
      </c>
      <c r="B34" s="326" t="s">
        <v>248</v>
      </c>
      <c r="C34" s="328" t="s">
        <v>277</v>
      </c>
      <c r="D34" s="345" t="str">
        <f>IFERROR(VLOOKUP($A34,'SCH D'!$C$15:$E$25,3,FALSE),"")</f>
        <v/>
      </c>
      <c r="E34" s="360" t="str">
        <f>IFERROR(VLOOKUP($A34,'SCH D'!$C$15:$G$25,5,FALSE),"")</f>
        <v/>
      </c>
      <c r="F34" s="26" t="e">
        <f>IF(AND(D35&gt;=1587.3,D35&lt;3174.6),ROUND(E35*0.01,2),IF(AND(D35&gt;=3174.6,D35&lt;3703.7),ROUND(E35*0.03,2),IF(AND(D35&gt;=3703.7,D35&lt;4232.8),ROUND(E35*0.04,2),IF(AND(D35&gt;=4232.8),ROUND(E35*0.05,2),"-"))))</f>
        <v>#VALUE!</v>
      </c>
    </row>
    <row r="35" spans="1:6" x14ac:dyDescent="0.3">
      <c r="A35" s="327" t="s">
        <v>222</v>
      </c>
      <c r="B35" s="327" t="s">
        <v>249</v>
      </c>
      <c r="C35" s="329" t="s">
        <v>277</v>
      </c>
      <c r="D35" s="345" t="str">
        <f>IFERROR(VLOOKUP($A35,'SCH D'!$C$15:$E$25,3,FALSE),"")</f>
        <v/>
      </c>
      <c r="E35" s="360" t="str">
        <f>IFERROR(VLOOKUP($A35,'SCH D'!$C$15:$G$25,5,FALSE),"")</f>
        <v/>
      </c>
      <c r="F35" s="26" t="e">
        <f t="shared" ref="F35:F37" si="1">IF(AND(D35&gt;=1587.3,D35&lt;3174.6),ROUND(E35*0.01,2),IF(AND(D35&gt;=3174.6,D35&lt;3703.7),ROUND(E35*0.03,2),IF(AND(D35&gt;=3703.7,D35&lt;4232.8),ROUND(E35*0.04,2),IF(AND(D35&gt;=4232.8),ROUND(E35*0.05,2),"-"))))</f>
        <v>#VALUE!</v>
      </c>
    </row>
    <row r="36" spans="1:6" x14ac:dyDescent="0.3">
      <c r="A36" s="326" t="s">
        <v>223</v>
      </c>
      <c r="B36" s="326" t="s">
        <v>250</v>
      </c>
      <c r="C36" s="328" t="s">
        <v>277</v>
      </c>
      <c r="D36" s="345" t="str">
        <f>IFERROR(VLOOKUP($A36,'SCH D'!$C$15:$E$25,3,FALSE),"")</f>
        <v/>
      </c>
      <c r="E36" s="360" t="str">
        <f>IFERROR(VLOOKUP($A36,'SCH D'!$C$15:$G$25,5,FALSE),"")</f>
        <v/>
      </c>
      <c r="F36" s="26" t="e">
        <f t="shared" si="1"/>
        <v>#VALUE!</v>
      </c>
    </row>
    <row r="37" spans="1:6" x14ac:dyDescent="0.3">
      <c r="A37" s="327" t="s">
        <v>187</v>
      </c>
      <c r="B37" s="327" t="s">
        <v>251</v>
      </c>
      <c r="C37" s="329" t="s">
        <v>277</v>
      </c>
      <c r="D37" s="345" t="str">
        <f>IFERROR(VLOOKUP($A37,'SCH D'!$C$15:$E$25,3,FALSE),"")</f>
        <v/>
      </c>
      <c r="E37" s="360" t="str">
        <f>IFERROR(VLOOKUP($A37,'SCH D'!$C$15:$G$25,5,FALSE),"")</f>
        <v/>
      </c>
      <c r="F37" s="26" t="e">
        <f t="shared" si="1"/>
        <v>#VALUE!</v>
      </c>
    </row>
    <row r="38" spans="1:6" x14ac:dyDescent="0.3">
      <c r="A38" s="326" t="s">
        <v>224</v>
      </c>
      <c r="B38" s="326" t="s">
        <v>278</v>
      </c>
      <c r="C38" s="328" t="s">
        <v>247</v>
      </c>
      <c r="D38" s="345" t="str">
        <f>IFERROR(VLOOKUP($A38,'SCH D'!$C$15:$E$25,3,FALSE),"")</f>
        <v/>
      </c>
      <c r="E38" s="360" t="str">
        <f>IFERROR(VLOOKUP($A38,'SCH D'!$C$15:$G$25,5,FALSE),"")</f>
        <v/>
      </c>
      <c r="F38" s="26" t="e">
        <f t="shared" ref="F38:F40" si="2">IF(AND(D38&gt;=3000,D38&lt;6000),ROUND(E38*0.01,2),IF(AND(D38&gt;=6000,D38&lt;7000),ROUND(E38*0.03,2),IF(AND(D38&gt;=7000,D38&lt;8000),ROUND(E38*0.04,2),IF(AND(D38&gt;=8000),ROUND(E38*0.05,2),"-"))))</f>
        <v>#VALUE!</v>
      </c>
    </row>
    <row r="39" spans="1:6" x14ac:dyDescent="0.3">
      <c r="A39" s="327" t="s">
        <v>225</v>
      </c>
      <c r="B39" s="327" t="s">
        <v>279</v>
      </c>
      <c r="C39" s="329" t="s">
        <v>247</v>
      </c>
      <c r="D39" s="345" t="str">
        <f>IFERROR(VLOOKUP($A39,'SCH D'!$C$15:$E$25,3,FALSE),"")</f>
        <v/>
      </c>
      <c r="E39" s="360" t="str">
        <f>IFERROR(VLOOKUP($A39,'SCH D'!$C$15:$G$25,5,FALSE),"")</f>
        <v/>
      </c>
      <c r="F39" s="26" t="e">
        <f t="shared" si="2"/>
        <v>#VALUE!</v>
      </c>
    </row>
    <row r="40" spans="1:6" x14ac:dyDescent="0.3">
      <c r="A40" s="326" t="s">
        <v>226</v>
      </c>
      <c r="B40" s="326" t="s">
        <v>280</v>
      </c>
      <c r="C40" s="328" t="s">
        <v>247</v>
      </c>
      <c r="D40" s="345" t="str">
        <f>IFERROR(VLOOKUP($A40,'SCH D'!$C$15:$E$25,3,FALSE),"")</f>
        <v/>
      </c>
      <c r="E40" s="360" t="str">
        <f>IFERROR(VLOOKUP($A40,'SCH D'!$C$15:$G$25,5,FALSE),"")</f>
        <v/>
      </c>
      <c r="F40" s="26" t="e">
        <f t="shared" si="2"/>
        <v>#VALUE!</v>
      </c>
    </row>
    <row r="41" spans="1:6" x14ac:dyDescent="0.3">
      <c r="A41" s="327" t="s">
        <v>227</v>
      </c>
      <c r="B41" s="327" t="s">
        <v>281</v>
      </c>
      <c r="C41" s="329" t="s">
        <v>46</v>
      </c>
      <c r="D41" s="345" t="str">
        <f>IFERROR(VLOOKUP($A41,'SCH D'!$C$15:$E$25,3,FALSE),"")</f>
        <v/>
      </c>
      <c r="E41" s="360" t="str">
        <f>IFERROR(VLOOKUP($A41,'SCH D'!$C$15:$G$25,5,FALSE),"")</f>
        <v/>
      </c>
      <c r="F41" s="26" t="e">
        <f>IF(AND(D41&gt;=14285.71,D41&lt;28571.43),ROUND(E41*0.01,2),IF(AND(D41&gt;=28571.43,D41&lt;33333.33),ROUND(E41*0.03,2),IF(AND(D41&gt;=33333.33,D41&lt;38095.24),ROUND(E41*0.04,2),IF(AND(D41&gt;=38095.24),ROUND(E41*0.05,2),"-"))))</f>
        <v>#VALUE!</v>
      </c>
    </row>
    <row r="42" spans="1:6" x14ac:dyDescent="0.3">
      <c r="A42" s="326" t="s">
        <v>228</v>
      </c>
      <c r="B42" s="326" t="s">
        <v>282</v>
      </c>
      <c r="C42" s="328" t="s">
        <v>46</v>
      </c>
      <c r="D42" s="345" t="str">
        <f>IFERROR(VLOOKUP($A42,'SCH D'!$C$15:$E$25,3,FALSE),"")</f>
        <v/>
      </c>
      <c r="E42" s="360" t="str">
        <f>IFERROR(VLOOKUP($A42,'SCH D'!$C$15:$G$25,5,FALSE),"")</f>
        <v/>
      </c>
      <c r="F42" s="26" t="e">
        <f>IF(AND(D42&gt;=9523.81,D42&lt;19047.62),ROUND(E42*0.01,2),IF(AND(D42&gt;=19047.62,D42&lt;22222.22),ROUND(E42*0.03,2),IF(AND(D42&gt;=22222.22,D42&lt;25396.83),ROUND(E42*0.04,2),IF(AND(D42&gt;=25396.83),ROUND(E42*0.05,2),"-"))))</f>
        <v>#VALUE!</v>
      </c>
    </row>
    <row r="43" spans="1:6" x14ac:dyDescent="0.3">
      <c r="A43" s="327" t="s">
        <v>229</v>
      </c>
      <c r="B43" s="327" t="s">
        <v>283</v>
      </c>
      <c r="C43" s="329" t="s">
        <v>46</v>
      </c>
      <c r="D43" s="345" t="str">
        <f>IFERROR(VLOOKUP($A43,'SCH D'!$C$15:$E$25,3,FALSE),"")</f>
        <v/>
      </c>
      <c r="E43" s="360" t="str">
        <f>IFERROR(VLOOKUP($A43,'SCH D'!$C$15:$G$25,5,FALSE),"")</f>
        <v/>
      </c>
      <c r="F43" s="26" t="e">
        <f>IF(AND(D43&gt;=7142.86,D43&lt;14285.71),ROUND(E43*0.01,2),IF(AND(D43&gt;=14285.71,D43&lt;16666.67),ROUND(E43*0.03,2),IF(AND(D43&gt;=16666.67,D43&lt;19047.62),ROUND(E43*0.04,2),IF(AND(D43&gt;=19047.62),ROUND(E43*0.05,2),"-"))))</f>
        <v>#VALUE!</v>
      </c>
    </row>
    <row r="44" spans="1:6" x14ac:dyDescent="0.3">
      <c r="A44" s="326" t="s">
        <v>230</v>
      </c>
      <c r="B44" s="326" t="s">
        <v>284</v>
      </c>
      <c r="C44" s="328" t="s">
        <v>46</v>
      </c>
      <c r="D44" s="345" t="str">
        <f>IFERROR(VLOOKUP($A44,'SCH D'!$C$15:$E$25,3,FALSE),"")</f>
        <v/>
      </c>
      <c r="E44" s="360" t="str">
        <f>IFERROR(VLOOKUP($A44,'SCH D'!$C$15:$G$25,5,FALSE),"")</f>
        <v/>
      </c>
      <c r="F44" s="26" t="e">
        <f>IF(AND(D44&gt;=5714.29,D44&lt;11428.57),ROUND(E44*0.01,2),IF(AND(D44&gt;=11,428.57,D44&lt;13333.33),ROUND(E44*0.03,2),IF(AND(D44&gt;=13333.33,D44&lt;15238.1),ROUND(E44*0.04,2),IF(AND(D44&gt;=15238.1),ROUND(E44*0.05,2),"-"))))</f>
        <v>#VALUE!</v>
      </c>
    </row>
    <row r="45" spans="1:6" x14ac:dyDescent="0.3">
      <c r="A45" s="327" t="s">
        <v>231</v>
      </c>
      <c r="B45" s="327" t="s">
        <v>285</v>
      </c>
      <c r="C45" s="329" t="s">
        <v>46</v>
      </c>
      <c r="D45" s="345" t="str">
        <f>IFERROR(VLOOKUP($A45,'SCH D'!$C$15:$E$25,3,FALSE),"")</f>
        <v/>
      </c>
      <c r="E45" s="360" t="str">
        <f>IFERROR(VLOOKUP($A45,'SCH D'!$C$15:$G$25,5,FALSE),"")</f>
        <v/>
      </c>
      <c r="F45" s="26" t="e">
        <f>IF(AND(D45&gt;=4761.9,D45&lt;9523.81),ROUND(E45*0.01,2),IF(AND(D45&gt;=9523.81,D45&lt;11111.11),ROUND(E45*0.03,2),IF(AND(D45&gt;=11111.11,D45&lt;12698.41),ROUND(E45*0.04,2),IF(AND(D45&gt;=12698.41),ROUND(E45*0.05,2),"-"))))</f>
        <v>#VALUE!</v>
      </c>
    </row>
    <row r="46" spans="1:6" x14ac:dyDescent="0.3">
      <c r="A46" s="326" t="s">
        <v>232</v>
      </c>
      <c r="B46" s="326" t="s">
        <v>286</v>
      </c>
      <c r="C46" s="328" t="s">
        <v>46</v>
      </c>
      <c r="D46" s="345" t="str">
        <f>IFERROR(VLOOKUP($A46,'SCH D'!$C$15:$E$25,3,FALSE),"")</f>
        <v/>
      </c>
      <c r="E46" s="360" t="str">
        <f>IFERROR(VLOOKUP($A46,'SCH D'!$C$15:$G$25,5,FALSE),"")</f>
        <v/>
      </c>
      <c r="F46" s="26" t="e">
        <f>IF(AND(D46&gt;=14285.71,D46&lt;28571.43),ROUND(E46*0.01,2),IF(AND(D46&gt;=28571.43,D46&lt;33333.33),ROUND(E46*0.03,2),IF(AND(D46&gt;=33333.33,D46&lt;38095.24),ROUND(E46*0.04,2),IF(AND(D46&gt;=38095.24),ROUND(E46*0.05,2),"-"))))</f>
        <v>#VALUE!</v>
      </c>
    </row>
    <row r="47" spans="1:6" x14ac:dyDescent="0.3">
      <c r="A47" s="327" t="s">
        <v>233</v>
      </c>
      <c r="B47" s="327" t="s">
        <v>287</v>
      </c>
      <c r="C47" s="329" t="s">
        <v>46</v>
      </c>
      <c r="D47" s="345" t="str">
        <f>IFERROR(VLOOKUP($A47,'SCH D'!$C$15:$E$25,3,FALSE),"")</f>
        <v/>
      </c>
      <c r="E47" s="360" t="str">
        <f>IFERROR(VLOOKUP($A47,'SCH D'!$C$15:$G$25,5,FALSE),"")</f>
        <v/>
      </c>
      <c r="F47" s="26" t="e">
        <f>IF(AND(D47&gt;=9523.81,D47&lt;19047.62),ROUND(E47*0.01,2),IF(AND(D47&gt;=19047.62,D47&lt;22222.22),ROUND(E47*0.03,2),IF(AND(D47&gt;=22222.22,D47&lt;25396.83),ROUND(E47*0.04,2),IF(AND(D47&gt;=25396.83),ROUND(E47*0.05,2),"-"))))</f>
        <v>#VALUE!</v>
      </c>
    </row>
    <row r="48" spans="1:6" x14ac:dyDescent="0.3">
      <c r="A48" s="326" t="s">
        <v>234</v>
      </c>
      <c r="B48" s="326" t="s">
        <v>288</v>
      </c>
      <c r="C48" s="328" t="s">
        <v>46</v>
      </c>
      <c r="D48" s="345" t="str">
        <f>IFERROR(VLOOKUP($A48,'SCH D'!$C$15:$E$25,3,FALSE),"")</f>
        <v/>
      </c>
      <c r="E48" s="360" t="str">
        <f>IFERROR(VLOOKUP($A48,'SCH D'!$C$15:$G$25,5,FALSE),"")</f>
        <v/>
      </c>
      <c r="F48" s="26" t="e">
        <f>IF(AND(D48&gt;=7142.86,D48&lt;14285.71),ROUND(E48*0.01,2),IF(AND(D48&gt;=14285.71,D48&lt;16666.67),ROUND(E48*0.03,2),IF(AND(D48&gt;=16666.67,D48&lt;19047.62),ROUND(E48*0.04,2),IF(AND(D48&gt;=19047.62),ROUND(E48*0.05,2),"-"))))</f>
        <v>#VALUE!</v>
      </c>
    </row>
    <row r="49" spans="1:6" x14ac:dyDescent="0.3">
      <c r="A49" s="327" t="s">
        <v>235</v>
      </c>
      <c r="B49" s="327" t="s">
        <v>289</v>
      </c>
      <c r="C49" s="329" t="s">
        <v>46</v>
      </c>
      <c r="D49" s="345" t="str">
        <f>IFERROR(VLOOKUP($A49,'SCH D'!$C$15:$E$25,3,FALSE),"")</f>
        <v/>
      </c>
      <c r="E49" s="360" t="str">
        <f>IFERROR(VLOOKUP($A49,'SCH D'!$C$15:$G$25,5,FALSE),"")</f>
        <v/>
      </c>
      <c r="F49" s="26" t="e">
        <f>IF(AND(D49&gt;=5714.29,D49&lt;11428.57),ROUND(E49*0.01,2),IF(AND(D49&gt;=11,428.57,D49&lt;13333.33),ROUND(E49*0.03,2),IF(AND(D49&gt;=13333.33,D49&lt;15238.1),ROUND(E49*0.04,2),IF(AND(D49&gt;=15238.1),ROUND(E49*0.05,2),"-"))))</f>
        <v>#VALUE!</v>
      </c>
    </row>
    <row r="50" spans="1:6" x14ac:dyDescent="0.3">
      <c r="A50" s="326" t="s">
        <v>236</v>
      </c>
      <c r="B50" s="326" t="s">
        <v>290</v>
      </c>
      <c r="C50" s="328" t="s">
        <v>46</v>
      </c>
      <c r="D50" s="345" t="str">
        <f>IFERROR(VLOOKUP($A50,'SCH D'!$C$15:$E$25,3,FALSE),"")</f>
        <v/>
      </c>
      <c r="E50" s="360" t="str">
        <f>IFERROR(VLOOKUP($A50,'SCH D'!$C$15:$G$25,5,FALSE),"")</f>
        <v/>
      </c>
      <c r="F50" s="26" t="e">
        <f>IF(AND(D50&gt;=4761.9,D50&lt;9523.81),ROUND(E50*0.01,2),IF(AND(D50&gt;=9523.81,D50&lt;11111.11),ROUND(E50*0.03,2),IF(AND(D50&gt;=11111.11,D50&lt;12698.41),ROUND(E50*0.04,2),IF(AND(D50&gt;=12698.41),ROUND(E50*0.05,2),"-"))))</f>
        <v>#VALUE!</v>
      </c>
    </row>
    <row r="51" spans="1:6" x14ac:dyDescent="0.3">
      <c r="A51" s="327" t="s">
        <v>237</v>
      </c>
      <c r="B51" s="327" t="s">
        <v>278</v>
      </c>
      <c r="C51" s="329" t="s">
        <v>277</v>
      </c>
      <c r="D51" s="345" t="str">
        <f>IFERROR(VLOOKUP($A51,'SCH D'!$C$15:$E$25,3,FALSE),"")</f>
        <v/>
      </c>
      <c r="E51" s="360" t="str">
        <f>IFERROR(VLOOKUP($A51,'SCH D'!$C$15:$G$25,5,FALSE),"")</f>
        <v/>
      </c>
      <c r="F51" s="26" t="e">
        <f t="shared" ref="F51:F53" si="3">IF(AND(D51&gt;=1587.3,D51&lt;3174.6),ROUND(E51*0.01,2),IF(AND(D51&gt;=3174.6,D51&lt;3703.7),ROUND(E51*0.03,2),IF(AND(D51&gt;=3703.7,D51&lt;4232.8),ROUND(E51*0.04,2),IF(AND(D51&gt;=4232.8),ROUND(E51*0.05,2),"-"))))</f>
        <v>#VALUE!</v>
      </c>
    </row>
    <row r="52" spans="1:6" x14ac:dyDescent="0.3">
      <c r="A52" s="326" t="s">
        <v>238</v>
      </c>
      <c r="B52" s="326" t="s">
        <v>279</v>
      </c>
      <c r="C52" s="328" t="s">
        <v>277</v>
      </c>
      <c r="D52" s="345" t="str">
        <f>IFERROR(VLOOKUP($A52,'SCH D'!$C$15:$E$25,3,FALSE),"")</f>
        <v/>
      </c>
      <c r="E52" s="360" t="str">
        <f>IFERROR(VLOOKUP($A52,'SCH D'!$C$15:$G$25,5,FALSE),"")</f>
        <v/>
      </c>
      <c r="F52" s="26" t="e">
        <f t="shared" si="3"/>
        <v>#VALUE!</v>
      </c>
    </row>
    <row r="53" spans="1:6" x14ac:dyDescent="0.3">
      <c r="A53" s="327" t="s">
        <v>239</v>
      </c>
      <c r="B53" s="327" t="s">
        <v>280</v>
      </c>
      <c r="C53" s="329" t="s">
        <v>277</v>
      </c>
      <c r="D53" s="345" t="str">
        <f>IFERROR(VLOOKUP($A53,'SCH D'!$C$15:$E$25,3,FALSE),"")</f>
        <v/>
      </c>
      <c r="E53" s="360" t="str">
        <f>IFERROR(VLOOKUP($A53,'SCH D'!$C$15:$G$25,5,FALSE),"")</f>
        <v/>
      </c>
      <c r="F53" s="26" t="e">
        <f t="shared" si="3"/>
        <v>#VALUE!</v>
      </c>
    </row>
    <row r="54" spans="1:6" x14ac:dyDescent="0.3">
      <c r="A54" s="326" t="s">
        <v>240</v>
      </c>
      <c r="B54" s="326" t="s">
        <v>291</v>
      </c>
      <c r="C54" s="328" t="s">
        <v>247</v>
      </c>
      <c r="D54" s="345" t="str">
        <f>IFERROR(VLOOKUP($A54,'SCH D'!$C$15:$E$25,3,FALSE),"")</f>
        <v/>
      </c>
      <c r="E54" s="360" t="str">
        <f>IFERROR(VLOOKUP($A54,'SCH D'!$C$15:$G$25,5,FALSE),"")</f>
        <v/>
      </c>
      <c r="F54" s="26" t="e">
        <f>IF(AND(D54&gt;=3000,D54&lt;6000),ROUND(E54*0.01,2),IF(AND(D54&gt;=6000,D54&lt;7000),ROUND(E54*0.03,2),IF(AND(D54&gt;=7000,D54&lt;8000),ROUND(E54*0.04,2),IF(AND(D54&gt;=8000),ROUND(E54*0.05,2),"-"))))</f>
        <v>#VALUE!</v>
      </c>
    </row>
    <row r="55" spans="1:6" x14ac:dyDescent="0.3">
      <c r="A55" s="327" t="s">
        <v>241</v>
      </c>
      <c r="B55" s="327" t="s">
        <v>292</v>
      </c>
      <c r="C55" s="329" t="s">
        <v>46</v>
      </c>
      <c r="D55" s="345" t="str">
        <f>IFERROR(VLOOKUP($A55,'SCH D'!$C$15:$E$25,3,FALSE),"")</f>
        <v/>
      </c>
      <c r="E55" s="360" t="str">
        <f>IFERROR(VLOOKUP($A55,'SCH D'!$C$15:$G$25,5,FALSE),"")</f>
        <v/>
      </c>
      <c r="F55" s="26" t="e">
        <f>IF(AND(D55&gt;=14285.71,D55&lt;28571.43),ROUND(E55*0.01,2),IF(AND(D55&gt;=28571.43,D55&lt;33333.33),ROUND(E55*0.03,2),IF(AND(D55&gt;=33333.33,D55&lt;38095.24),ROUND(E55*0.04,2),IF(AND(D55&gt;=38095.24),ROUND(E55*0.05,2),"-"))))</f>
        <v>#VALUE!</v>
      </c>
    </row>
    <row r="56" spans="1:6" x14ac:dyDescent="0.3">
      <c r="A56" s="326" t="s">
        <v>242</v>
      </c>
      <c r="B56" s="326" t="s">
        <v>293</v>
      </c>
      <c r="C56" s="328" t="s">
        <v>46</v>
      </c>
      <c r="D56" s="345" t="str">
        <f>IFERROR(VLOOKUP($A56,'SCH D'!$C$15:$E$25,3,FALSE),"")</f>
        <v/>
      </c>
      <c r="E56" s="360" t="str">
        <f>IFERROR(VLOOKUP($A56,'SCH D'!$C$15:$G$25,5,FALSE),"")</f>
        <v/>
      </c>
      <c r="F56" s="26" t="e">
        <f>IF(AND(D56&gt;=9523.81,D56&lt;19047.62),ROUND(E56*0.01,2),IF(AND(D56&gt;=19047.62,D56&lt;22222.22),ROUND(E56*0.03,2),IF(AND(D56&gt;=22222.22,D56&lt;25396.83),ROUND(E56*0.04,2),IF(AND(D56&gt;=25396.83),ROUND(E56*0.05,2),"-"))))</f>
        <v>#VALUE!</v>
      </c>
    </row>
    <row r="57" spans="1:6" x14ac:dyDescent="0.3">
      <c r="A57" s="327" t="s">
        <v>243</v>
      </c>
      <c r="B57" s="327" t="s">
        <v>294</v>
      </c>
      <c r="C57" s="329" t="s">
        <v>46</v>
      </c>
      <c r="D57" s="345" t="str">
        <f>IFERROR(VLOOKUP($A57,'SCH D'!$C$15:$E$25,3,FALSE),"")</f>
        <v/>
      </c>
      <c r="E57" s="360" t="str">
        <f>IFERROR(VLOOKUP($A57,'SCH D'!$C$15:$G$25,5,FALSE),"")</f>
        <v/>
      </c>
      <c r="F57" s="26" t="e">
        <f>IF(AND(D57&gt;=7142.86,D57&lt;14285.71),ROUND(E57*0.01,2),IF(AND(D57&gt;=14285.71,D57&lt;16666.67),ROUND(E57*0.03,2),IF(AND(D57&gt;=16666.67,D57&lt;19047.62),ROUND(E57*0.04,2),IF(AND(D57&gt;=19047.62),ROUND(E57*0.05,2),"-"))))</f>
        <v>#VALUE!</v>
      </c>
    </row>
    <row r="58" spans="1:6" x14ac:dyDescent="0.3">
      <c r="A58" s="326" t="s">
        <v>244</v>
      </c>
      <c r="B58" s="326" t="s">
        <v>295</v>
      </c>
      <c r="C58" s="328" t="s">
        <v>46</v>
      </c>
      <c r="D58" s="345" t="str">
        <f>IFERROR(VLOOKUP($A58,'SCH D'!$C$15:$E$25,3,FALSE),"")</f>
        <v/>
      </c>
      <c r="E58" s="360" t="str">
        <f>IFERROR(VLOOKUP($A58,'SCH D'!$C$15:$G$25,5,FALSE),"")</f>
        <v/>
      </c>
      <c r="F58" s="26" t="e">
        <f>IF(AND(D58&gt;=5714.29,D58&lt;11428.57),ROUND(E58*0.01,2),IF(AND(D58&gt;=11,428.57,D58&lt;13333.33),ROUND(E58*0.03,2),IF(AND(D58&gt;=13333.33,D58&lt;15238.1),ROUND(E58*0.04,2),IF(AND(D58&gt;=15238.1),ROUND(E58*0.05,2),"-"))))</f>
        <v>#VALUE!</v>
      </c>
    </row>
    <row r="59" spans="1:6" x14ac:dyDescent="0.3">
      <c r="A59" s="327" t="s">
        <v>245</v>
      </c>
      <c r="B59" s="327" t="s">
        <v>296</v>
      </c>
      <c r="C59" s="329" t="s">
        <v>46</v>
      </c>
      <c r="D59" s="345" t="str">
        <f>IFERROR(VLOOKUP($A59,'SCH D'!$C$15:$E$25,3,FALSE),"")</f>
        <v/>
      </c>
      <c r="E59" s="360" t="str">
        <f>IFERROR(VLOOKUP($A59,'SCH D'!$C$15:$G$25,5,FALSE),"")</f>
        <v/>
      </c>
      <c r="F59" s="26" t="e">
        <f>IF(AND(D59&gt;=4761.9,D59&lt;9523.81),ROUND(E59*0.01,2),IF(AND(D59&gt;=9523.81,D59&lt;11111.11),ROUND(E59*0.03,2),IF(AND(D59&gt;=11111.11,D59&lt;12698.41),ROUND(E59*0.04,2),IF(AND(D59&gt;=12698.41),ROUND(E59*0.05,2),"-"))))</f>
        <v>#VALUE!</v>
      </c>
    </row>
    <row r="60" spans="1:6" x14ac:dyDescent="0.3">
      <c r="A60" s="326" t="s">
        <v>188</v>
      </c>
      <c r="B60" s="326" t="s">
        <v>291</v>
      </c>
      <c r="C60" s="328" t="s">
        <v>277</v>
      </c>
      <c r="D60" s="345" t="str">
        <f>IFERROR(VLOOKUP($A60,'SCH D'!$C$15:$E$25,3,FALSE),"")</f>
        <v/>
      </c>
      <c r="E60" s="360" t="str">
        <f>IFERROR(VLOOKUP($A60,'SCH D'!$C$15:$G$25,5,FALSE),"")</f>
        <v/>
      </c>
      <c r="F60" s="26" t="e">
        <f t="shared" ref="F60" si="4">IF(AND(D60&gt;=1587.3,D60&lt;3174.6),ROUND(E60*0.01,2),IF(AND(D60&gt;=3174.6,D60&lt;3703.7),ROUND(E60*0.03,2),IF(AND(D60&gt;=3703.7,D60&lt;4232.8),ROUND(E60*0.04,2),IF(AND(D60&gt;=4232.8),ROUND(E60*0.05,2),"-"))))</f>
        <v>#VALUE!</v>
      </c>
    </row>
    <row r="61" spans="1:6" x14ac:dyDescent="0.3">
      <c r="A61" s="327" t="s">
        <v>318</v>
      </c>
      <c r="B61" s="329" t="s">
        <v>333</v>
      </c>
      <c r="C61" s="329" t="s">
        <v>247</v>
      </c>
      <c r="D61" s="345" t="str">
        <f>IFERROR(VLOOKUP($A61,'SCH D'!$C$15:$E$25,3,FALSE),"")</f>
        <v/>
      </c>
      <c r="E61" s="360" t="str">
        <f>IFERROR(VLOOKUP($A61,'SCH D'!$C$15:$G$25,5,FALSE),"")</f>
        <v/>
      </c>
      <c r="F61" s="26" t="e">
        <f t="shared" ref="F61:F65" si="5">IF(AND(D61&gt;=3000,D61&lt;6000),ROUND(E61*0.01,2),IF(AND(D61&gt;=6000,D61&lt;7000),ROUND(E61*0.03,2),IF(AND(D61&gt;=7000,D61&lt;8000),ROUND(E61*0.04,2),IF(AND(D61&gt;=8000),ROUND(E61*0.05,2),"-"))))</f>
        <v>#VALUE!</v>
      </c>
    </row>
    <row r="62" spans="1:6" x14ac:dyDescent="0.3">
      <c r="A62" s="326" t="s">
        <v>319</v>
      </c>
      <c r="B62" s="328" t="s">
        <v>334</v>
      </c>
      <c r="C62" s="328" t="s">
        <v>247</v>
      </c>
      <c r="D62" s="345" t="str">
        <f>IFERROR(VLOOKUP($A62,'SCH D'!$C$15:$E$25,3,FALSE),"")</f>
        <v/>
      </c>
      <c r="E62" s="360" t="str">
        <f>IFERROR(VLOOKUP($A62,'SCH D'!$C$15:$G$25,5,FALSE),"")</f>
        <v/>
      </c>
      <c r="F62" s="26" t="e">
        <f t="shared" si="5"/>
        <v>#VALUE!</v>
      </c>
    </row>
    <row r="63" spans="1:6" x14ac:dyDescent="0.3">
      <c r="A63" s="327" t="s">
        <v>320</v>
      </c>
      <c r="B63" s="329" t="s">
        <v>335</v>
      </c>
      <c r="C63" s="329" t="s">
        <v>247</v>
      </c>
      <c r="D63" s="345" t="str">
        <f>IFERROR(VLOOKUP($A63,'SCH D'!$C$15:$E$25,3,FALSE),"")</f>
        <v/>
      </c>
      <c r="E63" s="360" t="str">
        <f>IFERROR(VLOOKUP($A63,'SCH D'!$C$15:$G$25,5,FALSE),"")</f>
        <v/>
      </c>
      <c r="F63" s="26" t="e">
        <f t="shared" si="5"/>
        <v>#VALUE!</v>
      </c>
    </row>
    <row r="64" spans="1:6" x14ac:dyDescent="0.3">
      <c r="A64" s="326" t="s">
        <v>321</v>
      </c>
      <c r="B64" s="328" t="s">
        <v>336</v>
      </c>
      <c r="C64" s="328" t="s">
        <v>247</v>
      </c>
      <c r="D64" s="345" t="str">
        <f>IFERROR(VLOOKUP($A64,'SCH D'!$C$15:$E$25,3,FALSE),"")</f>
        <v/>
      </c>
      <c r="E64" s="360" t="str">
        <f>IFERROR(VLOOKUP($A64,'SCH D'!$C$15:$G$25,5,FALSE),"")</f>
        <v/>
      </c>
      <c r="F64" s="26" t="e">
        <f t="shared" si="5"/>
        <v>#VALUE!</v>
      </c>
    </row>
    <row r="65" spans="1:6" x14ac:dyDescent="0.3">
      <c r="A65" s="327" t="s">
        <v>322</v>
      </c>
      <c r="B65" s="329" t="s">
        <v>337</v>
      </c>
      <c r="C65" s="329" t="s">
        <v>247</v>
      </c>
      <c r="D65" s="345" t="str">
        <f>IFERROR(VLOOKUP($A65,'SCH D'!$C$15:$E$25,3,FALSE),"")</f>
        <v/>
      </c>
      <c r="E65" s="360" t="str">
        <f>IFERROR(VLOOKUP($A65,'SCH D'!$C$15:$G$25,5,FALSE),"")</f>
        <v/>
      </c>
      <c r="F65" s="26" t="e">
        <f t="shared" si="5"/>
        <v>#VALUE!</v>
      </c>
    </row>
    <row r="66" spans="1:6" x14ac:dyDescent="0.3">
      <c r="A66" s="326" t="s">
        <v>323</v>
      </c>
      <c r="B66" s="328" t="s">
        <v>333</v>
      </c>
      <c r="C66" s="328" t="s">
        <v>46</v>
      </c>
      <c r="D66" s="345" t="str">
        <f>IFERROR(VLOOKUP($A66,'SCH D'!$C$15:$E$25,3,FALSE),"")</f>
        <v/>
      </c>
      <c r="E66" s="360" t="str">
        <f>IFERROR(VLOOKUP($A66,'SCH D'!$C$15:$G$25,5,FALSE),"")</f>
        <v/>
      </c>
      <c r="F66" s="345"/>
    </row>
    <row r="67" spans="1:6" x14ac:dyDescent="0.3">
      <c r="A67" s="327" t="s">
        <v>324</v>
      </c>
      <c r="B67" s="329" t="s">
        <v>334</v>
      </c>
      <c r="C67" s="329" t="s">
        <v>46</v>
      </c>
      <c r="D67" s="345" t="str">
        <f>IFERROR(VLOOKUP($A67,'SCH D'!$C$15:$E$25,3,FALSE),"")</f>
        <v/>
      </c>
      <c r="E67" s="360" t="str">
        <f>IFERROR(VLOOKUP($A67,'SCH D'!$C$15:$G$25,5,FALSE),"")</f>
        <v/>
      </c>
      <c r="F67" s="345"/>
    </row>
    <row r="68" spans="1:6" x14ac:dyDescent="0.3">
      <c r="A68" s="326" t="s">
        <v>325</v>
      </c>
      <c r="B68" s="328" t="s">
        <v>335</v>
      </c>
      <c r="C68" s="328" t="s">
        <v>46</v>
      </c>
      <c r="D68" s="345" t="str">
        <f>IFERROR(VLOOKUP($A68,'SCH D'!$C$15:$E$25,3,FALSE),"")</f>
        <v/>
      </c>
      <c r="E68" s="360" t="str">
        <f>IFERROR(VLOOKUP($A68,'SCH D'!$C$15:$G$25,5,FALSE),"")</f>
        <v/>
      </c>
      <c r="F68" s="345"/>
    </row>
    <row r="69" spans="1:6" x14ac:dyDescent="0.3">
      <c r="A69" s="327" t="s">
        <v>326</v>
      </c>
      <c r="B69" s="329" t="s">
        <v>336</v>
      </c>
      <c r="C69" s="329" t="s">
        <v>46</v>
      </c>
      <c r="D69" s="345" t="str">
        <f>IFERROR(VLOOKUP($A69,'SCH D'!$C$15:$E$25,3,FALSE),"")</f>
        <v/>
      </c>
      <c r="E69" s="360" t="str">
        <f>IFERROR(VLOOKUP($A69,'SCH D'!$C$15:$G$25,5,FALSE),"")</f>
        <v/>
      </c>
      <c r="F69" s="345"/>
    </row>
    <row r="70" spans="1:6" x14ac:dyDescent="0.3">
      <c r="A70" s="326" t="s">
        <v>327</v>
      </c>
      <c r="B70" s="328" t="s">
        <v>337</v>
      </c>
      <c r="C70" s="328" t="s">
        <v>46</v>
      </c>
      <c r="D70" s="345" t="str">
        <f>IFERROR(VLOOKUP($A70,'SCH D'!$C$15:$E$25,3,FALSE),"")</f>
        <v/>
      </c>
      <c r="E70" s="360" t="str">
        <f>IFERROR(VLOOKUP($A70,'SCH D'!$C$15:$G$25,5,FALSE),"")</f>
        <v/>
      </c>
      <c r="F70" s="345"/>
    </row>
    <row r="71" spans="1:6" x14ac:dyDescent="0.3">
      <c r="A71" s="327" t="s">
        <v>328</v>
      </c>
      <c r="B71" s="329" t="s">
        <v>333</v>
      </c>
      <c r="C71" s="329" t="s">
        <v>277</v>
      </c>
      <c r="D71" s="345" t="str">
        <f>IFERROR(VLOOKUP($A71,'SCH D'!$C$15:$E$25,3,FALSE),"")</f>
        <v/>
      </c>
      <c r="E71" s="360" t="str">
        <f>IFERROR(VLOOKUP($A71,'SCH D'!$C$15:$G$25,5,FALSE),"")</f>
        <v/>
      </c>
      <c r="F71" s="26" t="e">
        <f t="shared" ref="F71:F75" si="6">IF(AND(D71&gt;=1587.3,D71&lt;3174.6),ROUND(E71*0.01,2),IF(AND(D71&gt;=3174.6,D71&lt;3703.7),ROUND(E71*0.03,2),IF(AND(D71&gt;=3703.7,D71&lt;4232.8),ROUND(E71*0.04,2),IF(AND(D71&gt;=4232.8),ROUND(E71*0.05,2),"-"))))</f>
        <v>#VALUE!</v>
      </c>
    </row>
    <row r="72" spans="1:6" x14ac:dyDescent="0.3">
      <c r="A72" s="326" t="s">
        <v>329</v>
      </c>
      <c r="B72" s="328" t="s">
        <v>334</v>
      </c>
      <c r="C72" s="328" t="s">
        <v>277</v>
      </c>
      <c r="D72" s="345" t="str">
        <f>IFERROR(VLOOKUP($A72,'SCH D'!$C$15:$E$25,3,FALSE),"")</f>
        <v/>
      </c>
      <c r="E72" s="360" t="str">
        <f>IFERROR(VLOOKUP($A72,'SCH D'!$C$15:$G$25,5,FALSE),"")</f>
        <v/>
      </c>
      <c r="F72" s="26" t="e">
        <f t="shared" si="6"/>
        <v>#VALUE!</v>
      </c>
    </row>
    <row r="73" spans="1:6" x14ac:dyDescent="0.3">
      <c r="A73" s="327" t="s">
        <v>330</v>
      </c>
      <c r="B73" s="329" t="s">
        <v>335</v>
      </c>
      <c r="C73" s="329" t="s">
        <v>277</v>
      </c>
      <c r="D73" s="345" t="str">
        <f>IFERROR(VLOOKUP($A73,'SCH D'!$C$15:$E$25,3,FALSE),"")</f>
        <v/>
      </c>
      <c r="E73" s="360" t="str">
        <f>IFERROR(VLOOKUP($A73,'SCH D'!$C$15:$G$25,5,FALSE),"")</f>
        <v/>
      </c>
      <c r="F73" s="26" t="e">
        <f t="shared" si="6"/>
        <v>#VALUE!</v>
      </c>
    </row>
    <row r="74" spans="1:6" x14ac:dyDescent="0.3">
      <c r="A74" s="326" t="s">
        <v>331</v>
      </c>
      <c r="B74" s="328" t="s">
        <v>336</v>
      </c>
      <c r="C74" s="328" t="s">
        <v>277</v>
      </c>
      <c r="D74" s="345" t="str">
        <f>IFERROR(VLOOKUP($A74,'SCH D'!$C$15:$E$25,3,FALSE),"")</f>
        <v/>
      </c>
      <c r="E74" s="360" t="str">
        <f>IFERROR(VLOOKUP($A74,'SCH D'!$C$15:$G$25,5,FALSE),"")</f>
        <v/>
      </c>
      <c r="F74" s="26" t="e">
        <f t="shared" si="6"/>
        <v>#VALUE!</v>
      </c>
    </row>
    <row r="75" spans="1:6" x14ac:dyDescent="0.3">
      <c r="A75" s="327" t="s">
        <v>332</v>
      </c>
      <c r="B75" s="329" t="s">
        <v>337</v>
      </c>
      <c r="C75" s="329" t="s">
        <v>277</v>
      </c>
      <c r="D75" s="345" t="str">
        <f>IFERROR(VLOOKUP($A75,'SCH D'!$C$15:$E$25,3,FALSE),"")</f>
        <v/>
      </c>
      <c r="E75" s="360" t="str">
        <f>IFERROR(VLOOKUP($A75,'SCH D'!$C$15:$G$25,5,FALSE),"")</f>
        <v/>
      </c>
      <c r="F75" s="26" t="e">
        <f t="shared" si="6"/>
        <v>#VALUE!</v>
      </c>
    </row>
    <row r="76" spans="1:6" x14ac:dyDescent="0.3">
      <c r="A76" s="326" t="s">
        <v>338</v>
      </c>
      <c r="B76" s="326" t="s">
        <v>350</v>
      </c>
      <c r="C76" s="326" t="s">
        <v>351</v>
      </c>
      <c r="D76" s="345" t="str">
        <f>IFERROR(VLOOKUP($A76,'SCH D'!$C$15:$E$25,3,FALSE),"")</f>
        <v/>
      </c>
      <c r="E76" s="360" t="str">
        <f>IFERROR(VLOOKUP($A76,'SCH D'!$C$15:$G$25,5,FALSE),"")</f>
        <v/>
      </c>
      <c r="F76" s="345"/>
    </row>
    <row r="77" spans="1:6" x14ac:dyDescent="0.3">
      <c r="A77" s="327" t="s">
        <v>339</v>
      </c>
      <c r="B77" s="327" t="s">
        <v>352</v>
      </c>
      <c r="C77" s="327" t="s">
        <v>351</v>
      </c>
      <c r="D77" s="345" t="str">
        <f>IFERROR(VLOOKUP($A77,'SCH D'!$C$15:$E$25,3,FALSE),"")</f>
        <v/>
      </c>
      <c r="E77" s="360" t="str">
        <f>IFERROR(VLOOKUP($A77,'SCH D'!$C$15:$G$25,5,FALSE),"")</f>
        <v/>
      </c>
      <c r="F77" s="345"/>
    </row>
    <row r="78" spans="1:6" x14ac:dyDescent="0.3">
      <c r="A78" s="326" t="s">
        <v>340</v>
      </c>
      <c r="B78" s="326" t="s">
        <v>353</v>
      </c>
      <c r="C78" s="326" t="s">
        <v>351</v>
      </c>
      <c r="D78" s="345" t="str">
        <f>IFERROR(VLOOKUP($A78,'SCH D'!$C$15:$E$25,3,FALSE),"")</f>
        <v/>
      </c>
      <c r="E78" s="360" t="str">
        <f>IFERROR(VLOOKUP($A78,'SCH D'!$C$15:$G$25,5,FALSE),"")</f>
        <v/>
      </c>
      <c r="F78" s="345"/>
    </row>
    <row r="79" spans="1:6" x14ac:dyDescent="0.3">
      <c r="A79" s="327" t="s">
        <v>341</v>
      </c>
      <c r="B79" s="327" t="s">
        <v>354</v>
      </c>
      <c r="C79" s="327" t="s">
        <v>351</v>
      </c>
      <c r="D79" s="345" t="str">
        <f>IFERROR(VLOOKUP($A79,'SCH D'!$C$15:$E$25,3,FALSE),"")</f>
        <v/>
      </c>
      <c r="E79" s="360" t="str">
        <f>IFERROR(VLOOKUP($A79,'SCH D'!$C$15:$G$25,5,FALSE),"")</f>
        <v/>
      </c>
      <c r="F79" s="345"/>
    </row>
    <row r="80" spans="1:6" x14ac:dyDescent="0.3">
      <c r="A80" s="326" t="s">
        <v>342</v>
      </c>
      <c r="B80" s="326" t="s">
        <v>350</v>
      </c>
      <c r="C80" s="326" t="s">
        <v>46</v>
      </c>
      <c r="D80" s="345" t="str">
        <f>IFERROR(VLOOKUP($A80,'SCH D'!$C$15:$E$25,3,FALSE),"")</f>
        <v/>
      </c>
      <c r="E80" s="360" t="str">
        <f>IFERROR(VLOOKUP($A80,'SCH D'!$C$15:$G$25,5,FALSE),"")</f>
        <v/>
      </c>
      <c r="F80" s="345"/>
    </row>
    <row r="81" spans="1:6" x14ac:dyDescent="0.3">
      <c r="A81" s="327" t="s">
        <v>343</v>
      </c>
      <c r="B81" s="334" t="s">
        <v>352</v>
      </c>
      <c r="C81" s="327" t="s">
        <v>46</v>
      </c>
      <c r="D81" s="345" t="str">
        <f>IFERROR(VLOOKUP($A81,'SCH D'!$C$15:$E$25,3,FALSE),"")</f>
        <v/>
      </c>
      <c r="E81" s="360" t="str">
        <f>IFERROR(VLOOKUP($A81,'SCH D'!$C$15:$G$25,5,FALSE),"")</f>
        <v/>
      </c>
      <c r="F81" s="345"/>
    </row>
    <row r="82" spans="1:6" ht="27.6" x14ac:dyDescent="0.3">
      <c r="A82" s="326" t="s">
        <v>344</v>
      </c>
      <c r="B82" s="335" t="s">
        <v>353</v>
      </c>
      <c r="C82" s="326" t="s">
        <v>46</v>
      </c>
      <c r="D82" s="345" t="str">
        <f>IFERROR(VLOOKUP($A82,'SCH D'!$C$15:$E$25,3,FALSE),"")</f>
        <v/>
      </c>
      <c r="E82" s="360" t="str">
        <f>IFERROR(VLOOKUP($A82,'SCH D'!$C$15:$G$25,5,FALSE),"")</f>
        <v/>
      </c>
      <c r="F82" s="345"/>
    </row>
    <row r="83" spans="1:6" ht="27.6" x14ac:dyDescent="0.3">
      <c r="A83" s="327" t="s">
        <v>345</v>
      </c>
      <c r="B83" s="334" t="s">
        <v>354</v>
      </c>
      <c r="C83" s="327" t="s">
        <v>46</v>
      </c>
      <c r="D83" s="345" t="str">
        <f>IFERROR(VLOOKUP($A83,'SCH D'!$C$15:$E$25,3,FALSE),"")</f>
        <v/>
      </c>
      <c r="E83" s="360" t="str">
        <f>IFERROR(VLOOKUP($A83,'SCH D'!$C$15:$G$25,5,FALSE),"")</f>
        <v/>
      </c>
      <c r="F83" s="345"/>
    </row>
    <row r="84" spans="1:6" x14ac:dyDescent="0.3">
      <c r="A84" s="326" t="s">
        <v>346</v>
      </c>
      <c r="B84" s="326" t="s">
        <v>350</v>
      </c>
      <c r="C84" s="326" t="s">
        <v>247</v>
      </c>
      <c r="D84" s="345" t="str">
        <f>IFERROR(VLOOKUP($A84,'SCH D'!$C$15:$E$25,3,FALSE),"")</f>
        <v/>
      </c>
      <c r="E84" s="360" t="str">
        <f>IFERROR(VLOOKUP($A84,'SCH D'!$C$15:$G$25,5,FALSE),"")</f>
        <v/>
      </c>
      <c r="F84" s="26" t="e">
        <f t="shared" ref="F84:F87" si="7">IF(AND(D84&gt;=3000,D84&lt;6000),ROUND(E84*0.01,2),IF(AND(D84&gt;=6000,D84&lt;7000),ROUND(E84*0.03,2),IF(AND(D84&gt;=7000,D84&lt;8000),ROUND(E84*0.04,2),IF(AND(D84&gt;=8000),ROUND(E84*0.05,2),"-"))))</f>
        <v>#VALUE!</v>
      </c>
    </row>
    <row r="85" spans="1:6" x14ac:dyDescent="0.3">
      <c r="A85" s="327" t="s">
        <v>347</v>
      </c>
      <c r="B85" s="327" t="s">
        <v>352</v>
      </c>
      <c r="C85" s="327" t="s">
        <v>247</v>
      </c>
      <c r="D85" s="345" t="str">
        <f>IFERROR(VLOOKUP($A85,'SCH D'!$C$15:$E$25,3,FALSE),"")</f>
        <v/>
      </c>
      <c r="E85" s="360" t="str">
        <f>IFERROR(VLOOKUP($A85,'SCH D'!$C$15:$G$25,5,FALSE),"")</f>
        <v/>
      </c>
      <c r="F85" s="26" t="e">
        <f t="shared" si="7"/>
        <v>#VALUE!</v>
      </c>
    </row>
    <row r="86" spans="1:6" x14ac:dyDescent="0.3">
      <c r="A86" s="326" t="s">
        <v>348</v>
      </c>
      <c r="B86" s="326" t="s">
        <v>353</v>
      </c>
      <c r="C86" s="326" t="s">
        <v>247</v>
      </c>
      <c r="D86" s="345" t="str">
        <f>IFERROR(VLOOKUP($A86,'SCH D'!$C$15:$E$25,3,FALSE),"")</f>
        <v/>
      </c>
      <c r="E86" s="360" t="str">
        <f>IFERROR(VLOOKUP($A86,'SCH D'!$C$15:$G$25,5,FALSE),"")</f>
        <v/>
      </c>
      <c r="F86" s="26" t="e">
        <f t="shared" si="7"/>
        <v>#VALUE!</v>
      </c>
    </row>
    <row r="87" spans="1:6" x14ac:dyDescent="0.3">
      <c r="A87" s="327" t="s">
        <v>349</v>
      </c>
      <c r="B87" s="327" t="s">
        <v>354</v>
      </c>
      <c r="C87" s="327" t="s">
        <v>247</v>
      </c>
      <c r="D87" s="345" t="str">
        <f>IFERROR(VLOOKUP($A87,'SCH D'!$C$15:$E$25,3,FALSE),"")</f>
        <v/>
      </c>
      <c r="E87" s="360" t="str">
        <f>IFERROR(VLOOKUP($A87,'SCH D'!$C$15:$G$25,5,FALSE),"")</f>
        <v/>
      </c>
      <c r="F87" s="26" t="e">
        <f t="shared" si="7"/>
        <v>#VALUE!</v>
      </c>
    </row>
    <row r="88" spans="1:6" x14ac:dyDescent="0.3">
      <c r="A88" s="326" t="s">
        <v>355</v>
      </c>
      <c r="B88" s="326" t="s">
        <v>356</v>
      </c>
      <c r="C88" s="328" t="s">
        <v>247</v>
      </c>
      <c r="D88" s="345" t="str">
        <f>IFERROR(VLOOKUP($A88,'SCH D'!$C$15:$E$25,3,FALSE),"")</f>
        <v/>
      </c>
      <c r="E88" s="360" t="str">
        <f>IFERROR(VLOOKUP($A88,'SCH D'!$C$15:$G$25,5,FALSE),"")</f>
        <v/>
      </c>
      <c r="F88" s="345"/>
    </row>
    <row r="89" spans="1:6" x14ac:dyDescent="0.3">
      <c r="A89" s="327" t="s">
        <v>357</v>
      </c>
      <c r="B89" s="327" t="s">
        <v>304</v>
      </c>
      <c r="C89" s="327" t="s">
        <v>247</v>
      </c>
      <c r="D89" s="345" t="str">
        <f>IFERROR(VLOOKUP($A89,'SCH D'!$C$15:$E$25,3,FALSE),"")</f>
        <v/>
      </c>
      <c r="E89" s="360" t="str">
        <f>IFERROR(VLOOKUP($A89,'SCH D'!$C$15:$G$25,5,FALSE),"")</f>
        <v/>
      </c>
      <c r="F89" s="26" t="e">
        <f>IF((D89&gt;=1575),ROUND(E89*0.01,2),"-")</f>
        <v>#VALUE!</v>
      </c>
    </row>
    <row r="90" spans="1:6" x14ac:dyDescent="0.3">
      <c r="A90" s="326" t="s">
        <v>358</v>
      </c>
      <c r="B90" s="326" t="s">
        <v>305</v>
      </c>
      <c r="C90" s="326" t="s">
        <v>247</v>
      </c>
      <c r="D90" s="345" t="str">
        <f>IFERROR(VLOOKUP($A90,'SCH D'!$C$15:$E$25,3,FALSE),"")</f>
        <v/>
      </c>
      <c r="E90" s="360" t="str">
        <f>IFERROR(VLOOKUP($A90,'SCH D'!$C$15:$G$25,5,FALSE),"")</f>
        <v/>
      </c>
      <c r="F90" s="26" t="e">
        <f>IF((D90&gt;=1050),ROUND(E90*0.01,2),"-")</f>
        <v>#VALUE!</v>
      </c>
    </row>
    <row r="91" spans="1:6" x14ac:dyDescent="0.3">
      <c r="A91" s="327" t="s">
        <v>359</v>
      </c>
      <c r="B91" s="327" t="s">
        <v>306</v>
      </c>
      <c r="C91" s="327" t="s">
        <v>247</v>
      </c>
      <c r="D91" s="345" t="str">
        <f>IFERROR(VLOOKUP($A91,'SCH D'!$C$15:$E$25,3,FALSE),"")</f>
        <v/>
      </c>
      <c r="E91" s="360" t="str">
        <f>IFERROR(VLOOKUP($A91,'SCH D'!$C$15:$G$25,5,FALSE),"")</f>
        <v/>
      </c>
      <c r="F91" s="26" t="e">
        <f>IF((D91&gt;=787.5),ROUND(E91*0.01,2),"-")</f>
        <v>#VALUE!</v>
      </c>
    </row>
    <row r="92" spans="1:6" x14ac:dyDescent="0.3">
      <c r="A92" s="326" t="s">
        <v>360</v>
      </c>
      <c r="B92" s="326" t="s">
        <v>307</v>
      </c>
      <c r="C92" s="326" t="s">
        <v>247</v>
      </c>
      <c r="D92" s="345" t="str">
        <f>IFERROR(VLOOKUP($A92,'SCH D'!$C$15:$E$25,3,FALSE),"")</f>
        <v/>
      </c>
      <c r="E92" s="360" t="str">
        <f>IFERROR(VLOOKUP($A92,'SCH D'!$C$15:$G$25,5,FALSE),"")</f>
        <v/>
      </c>
      <c r="F92" s="26" t="e">
        <f>IF((D92&gt;=393.75),ROUND(E92*0.01,2),"-")</f>
        <v>#VALUE!</v>
      </c>
    </row>
    <row r="93" spans="1:6" x14ac:dyDescent="0.3">
      <c r="A93" s="327" t="s">
        <v>361</v>
      </c>
      <c r="B93" s="327" t="s">
        <v>367</v>
      </c>
      <c r="C93" s="327" t="s">
        <v>247</v>
      </c>
      <c r="D93" s="345" t="str">
        <f>IFERROR(VLOOKUP($A93,'SCH D'!$C$15:$E$25,3,FALSE),"")</f>
        <v/>
      </c>
      <c r="E93" s="360" t="str">
        <f>IFERROR(VLOOKUP($A93,'SCH D'!$C$15:$G$25,5,FALSE),"")</f>
        <v/>
      </c>
      <c r="F93" s="26" t="e">
        <f>IF((D93&gt;=(1575*2)),ROUND(E93*0.01,2),"-")</f>
        <v>#VALUE!</v>
      </c>
    </row>
    <row r="94" spans="1:6" x14ac:dyDescent="0.3">
      <c r="A94" s="326" t="s">
        <v>362</v>
      </c>
      <c r="B94" s="326" t="s">
        <v>368</v>
      </c>
      <c r="C94" s="326" t="s">
        <v>247</v>
      </c>
      <c r="D94" s="345" t="str">
        <f>IFERROR(VLOOKUP($A94,'SCH D'!$C$15:$E$25,3,FALSE),"")</f>
        <v/>
      </c>
      <c r="E94" s="360" t="str">
        <f>IFERROR(VLOOKUP($A94,'SCH D'!$C$15:$G$25,5,FALSE),"")</f>
        <v/>
      </c>
      <c r="F94" s="26" t="e">
        <f>IF((D94&gt;=(787.5*2)),ROUND(E94*0.01,2),"-")</f>
        <v>#VALUE!</v>
      </c>
    </row>
    <row r="95" spans="1:6" x14ac:dyDescent="0.3">
      <c r="A95" s="327" t="s">
        <v>363</v>
      </c>
      <c r="B95" s="327" t="s">
        <v>369</v>
      </c>
      <c r="C95" s="327" t="s">
        <v>247</v>
      </c>
      <c r="D95" s="345" t="str">
        <f>IFERROR(VLOOKUP($A95,'SCH D'!$C$15:$E$25,3,FALSE),"")</f>
        <v/>
      </c>
      <c r="E95" s="360" t="str">
        <f>IFERROR(VLOOKUP($A95,'SCH D'!$C$15:$G$25,5,FALSE),"")</f>
        <v/>
      </c>
      <c r="F95" s="26" t="e">
        <f>IF((D95&gt;=(1050*2)),ROUND(E95*0.01,2),"-")</f>
        <v>#VALUE!</v>
      </c>
    </row>
    <row r="96" spans="1:6" x14ac:dyDescent="0.3">
      <c r="A96" s="326" t="s">
        <v>364</v>
      </c>
      <c r="B96" s="326" t="s">
        <v>370</v>
      </c>
      <c r="C96" s="326" t="s">
        <v>247</v>
      </c>
      <c r="D96" s="345" t="str">
        <f>IFERROR(VLOOKUP($A96,'SCH D'!$C$15:$E$25,3,FALSE),"")</f>
        <v/>
      </c>
      <c r="E96" s="360" t="str">
        <f>IFERROR(VLOOKUP($A96,'SCH D'!$C$15:$G$25,5,FALSE),"")</f>
        <v/>
      </c>
      <c r="F96" s="26" t="e">
        <f>IF((D96&gt;=(787.5*2)),ROUND(E96*0.01,2),"-")</f>
        <v>#VALUE!</v>
      </c>
    </row>
    <row r="97" spans="1:6" x14ac:dyDescent="0.3">
      <c r="A97" s="327" t="s">
        <v>365</v>
      </c>
      <c r="B97" s="327" t="s">
        <v>371</v>
      </c>
      <c r="C97" s="327" t="s">
        <v>247</v>
      </c>
      <c r="D97" s="345" t="str">
        <f>IFERROR(VLOOKUP($A97,'SCH D'!$C$15:$E$25,3,FALSE),"")</f>
        <v/>
      </c>
      <c r="E97" s="360" t="str">
        <f>IFERROR(VLOOKUP($A97,'SCH D'!$C$15:$G$25,5,FALSE),"")</f>
        <v/>
      </c>
      <c r="F97" s="26" t="e">
        <f>IF((D97&gt;=(787.5*2)),ROUND(E97*0.01,2),"-")</f>
        <v>#VALUE!</v>
      </c>
    </row>
    <row r="98" spans="1:6" x14ac:dyDescent="0.3">
      <c r="A98" s="326" t="s">
        <v>366</v>
      </c>
      <c r="B98" s="326" t="s">
        <v>372</v>
      </c>
      <c r="C98" s="326" t="s">
        <v>247</v>
      </c>
      <c r="D98" s="345" t="str">
        <f>IFERROR(VLOOKUP($A98,'SCH D'!$C$15:$E$25,3,FALSE),"")</f>
        <v/>
      </c>
      <c r="E98" s="360" t="str">
        <f>IFERROR(VLOOKUP($A98,'SCH D'!$C$15:$G$25,5,FALSE),"")</f>
        <v/>
      </c>
      <c r="F98" s="26" t="e">
        <f>IF((D98&gt;=(393.75*2)),ROUND(E98*0.01,2),"-")</f>
        <v>#VALUE!</v>
      </c>
    </row>
    <row r="99" spans="1:6" x14ac:dyDescent="0.3">
      <c r="A99" s="327" t="s">
        <v>297</v>
      </c>
      <c r="B99" s="327" t="s">
        <v>304</v>
      </c>
      <c r="C99" s="327" t="s">
        <v>46</v>
      </c>
      <c r="D99" s="345" t="str">
        <f>IFERROR(VLOOKUP($A99,'SCH D'!$C$15:$E$25,3,FALSE),"")</f>
        <v/>
      </c>
      <c r="E99" s="360" t="str">
        <f>IFERROR(VLOOKUP($A99,'SCH D'!$C$15:$G$25,5,FALSE),"")</f>
        <v/>
      </c>
      <c r="F99" s="26" t="e">
        <f>IF((D99&gt;=40000),ROUND(E99*0.05,2),"-")</f>
        <v>#VALUE!</v>
      </c>
    </row>
    <row r="100" spans="1:6" x14ac:dyDescent="0.3">
      <c r="A100" s="326" t="s">
        <v>298</v>
      </c>
      <c r="B100" s="326" t="s">
        <v>305</v>
      </c>
      <c r="C100" s="326" t="s">
        <v>46</v>
      </c>
      <c r="D100" s="345" t="str">
        <f>IFERROR(VLOOKUP($A100,'SCH D'!$C$15:$E$25,3,FALSE),"")</f>
        <v/>
      </c>
      <c r="E100" s="360" t="str">
        <f>IFERROR(VLOOKUP($A100,'SCH D'!$C$15:$G$25,5,FALSE),"")</f>
        <v/>
      </c>
      <c r="F100" s="26" t="e">
        <f t="shared" ref="F100:F150" si="8">IF((D100&gt;=40000),ROUND(E100*0.05,2),"-")</f>
        <v>#VALUE!</v>
      </c>
    </row>
    <row r="101" spans="1:6" x14ac:dyDescent="0.3">
      <c r="A101" s="327" t="s">
        <v>299</v>
      </c>
      <c r="B101" s="327" t="s">
        <v>306</v>
      </c>
      <c r="C101" s="327" t="s">
        <v>46</v>
      </c>
      <c r="D101" s="345" t="str">
        <f>IFERROR(VLOOKUP($A101,'SCH D'!$C$15:$E$25,3,FALSE),"")</f>
        <v/>
      </c>
      <c r="E101" s="360" t="str">
        <f>IFERROR(VLOOKUP($A101,'SCH D'!$C$15:$G$25,5,FALSE),"")</f>
        <v/>
      </c>
      <c r="F101" s="26" t="e">
        <f t="shared" si="8"/>
        <v>#VALUE!</v>
      </c>
    </row>
    <row r="102" spans="1:6" x14ac:dyDescent="0.3">
      <c r="A102" s="326" t="s">
        <v>300</v>
      </c>
      <c r="B102" s="326" t="s">
        <v>307</v>
      </c>
      <c r="C102" s="326" t="s">
        <v>46</v>
      </c>
      <c r="D102" s="345" t="str">
        <f>IFERROR(VLOOKUP($A102,'SCH D'!$C$15:$E$25,3,FALSE),"")</f>
        <v/>
      </c>
      <c r="E102" s="360" t="str">
        <f>IFERROR(VLOOKUP($A102,'SCH D'!$C$15:$G$25,5,FALSE),"")</f>
        <v/>
      </c>
      <c r="F102" s="26" t="e">
        <f t="shared" si="8"/>
        <v>#VALUE!</v>
      </c>
    </row>
    <row r="103" spans="1:6" x14ac:dyDescent="0.3">
      <c r="A103" s="327" t="s">
        <v>301</v>
      </c>
      <c r="B103" s="327" t="s">
        <v>308</v>
      </c>
      <c r="C103" s="327" t="s">
        <v>46</v>
      </c>
      <c r="D103" s="345" t="str">
        <f>IFERROR(VLOOKUP($A103,'SCH D'!$C$15:$E$25,3,FALSE),"")</f>
        <v/>
      </c>
      <c r="E103" s="360" t="str">
        <f>IFERROR(VLOOKUP($A103,'SCH D'!$C$15:$G$25,5,FALSE),"")</f>
        <v/>
      </c>
      <c r="F103" s="26" t="e">
        <f t="shared" si="8"/>
        <v>#VALUE!</v>
      </c>
    </row>
    <row r="104" spans="1:6" x14ac:dyDescent="0.3">
      <c r="A104" s="326" t="s">
        <v>302</v>
      </c>
      <c r="B104" s="326" t="s">
        <v>309</v>
      </c>
      <c r="C104" s="326" t="s">
        <v>46</v>
      </c>
      <c r="D104" s="345" t="str">
        <f>IFERROR(VLOOKUP($A104,'SCH D'!$C$15:$E$25,3,FALSE),"")</f>
        <v/>
      </c>
      <c r="E104" s="360" t="str">
        <f>IFERROR(VLOOKUP($A104,'SCH D'!$C$15:$G$25,5,FALSE),"")</f>
        <v/>
      </c>
      <c r="F104" s="26" t="e">
        <f t="shared" si="8"/>
        <v>#VALUE!</v>
      </c>
    </row>
    <row r="105" spans="1:6" x14ac:dyDescent="0.3">
      <c r="A105" s="327" t="s">
        <v>303</v>
      </c>
      <c r="B105" s="327" t="s">
        <v>310</v>
      </c>
      <c r="C105" s="327" t="s">
        <v>46</v>
      </c>
      <c r="D105" s="345" t="str">
        <f>IFERROR(VLOOKUP($A105,'SCH D'!$C$15:$E$25,3,FALSE),"")</f>
        <v/>
      </c>
      <c r="E105" s="360" t="str">
        <f>IFERROR(VLOOKUP($A105,'SCH D'!$C$15:$G$25,5,FALSE),"")</f>
        <v/>
      </c>
      <c r="F105" s="26" t="e">
        <f t="shared" si="8"/>
        <v>#VALUE!</v>
      </c>
    </row>
    <row r="106" spans="1:6" hidden="1" x14ac:dyDescent="0.3">
      <c r="A106" s="337" t="s">
        <v>373</v>
      </c>
      <c r="B106" s="338" t="s">
        <v>394</v>
      </c>
      <c r="C106" s="339" t="s">
        <v>247</v>
      </c>
      <c r="F106" s="26" t="str">
        <f t="shared" si="8"/>
        <v>-</v>
      </c>
    </row>
    <row r="107" spans="1:6" hidden="1" x14ac:dyDescent="0.3">
      <c r="A107" s="327" t="s">
        <v>374</v>
      </c>
      <c r="B107" s="327" t="s">
        <v>395</v>
      </c>
      <c r="C107" s="329" t="s">
        <v>247</v>
      </c>
      <c r="F107" s="26" t="str">
        <f t="shared" si="8"/>
        <v>-</v>
      </c>
    </row>
    <row r="108" spans="1:6" hidden="1" x14ac:dyDescent="0.3">
      <c r="A108" s="326" t="s">
        <v>375</v>
      </c>
      <c r="B108" s="326" t="s">
        <v>396</v>
      </c>
      <c r="C108" s="328" t="s">
        <v>247</v>
      </c>
      <c r="F108" s="26" t="str">
        <f t="shared" si="8"/>
        <v>-</v>
      </c>
    </row>
    <row r="109" spans="1:6" hidden="1" x14ac:dyDescent="0.3">
      <c r="A109" s="327" t="s">
        <v>376</v>
      </c>
      <c r="B109" s="327" t="s">
        <v>397</v>
      </c>
      <c r="C109" s="329" t="s">
        <v>247</v>
      </c>
      <c r="F109" s="26" t="str">
        <f t="shared" si="8"/>
        <v>-</v>
      </c>
    </row>
    <row r="110" spans="1:6" hidden="1" x14ac:dyDescent="0.3">
      <c r="A110" s="326" t="s">
        <v>377</v>
      </c>
      <c r="B110" s="326" t="s">
        <v>398</v>
      </c>
      <c r="C110" s="328" t="s">
        <v>247</v>
      </c>
      <c r="F110" s="26" t="str">
        <f t="shared" si="8"/>
        <v>-</v>
      </c>
    </row>
    <row r="111" spans="1:6" hidden="1" x14ac:dyDescent="0.3">
      <c r="A111" s="327" t="s">
        <v>378</v>
      </c>
      <c r="B111" s="327" t="s">
        <v>399</v>
      </c>
      <c r="C111" s="329" t="s">
        <v>247</v>
      </c>
      <c r="F111" s="26" t="str">
        <f t="shared" si="8"/>
        <v>-</v>
      </c>
    </row>
    <row r="112" spans="1:6" hidden="1" x14ac:dyDescent="0.3">
      <c r="A112" s="326" t="s">
        <v>379</v>
      </c>
      <c r="B112" s="326" t="s">
        <v>400</v>
      </c>
      <c r="C112" s="328" t="s">
        <v>247</v>
      </c>
      <c r="F112" s="26" t="str">
        <f t="shared" si="8"/>
        <v>-</v>
      </c>
    </row>
    <row r="113" spans="1:6" hidden="1" x14ac:dyDescent="0.3">
      <c r="A113" s="327" t="s">
        <v>380</v>
      </c>
      <c r="B113" s="327" t="s">
        <v>401</v>
      </c>
      <c r="C113" s="329" t="s">
        <v>247</v>
      </c>
      <c r="F113" s="26" t="str">
        <f t="shared" si="8"/>
        <v>-</v>
      </c>
    </row>
    <row r="114" spans="1:6" hidden="1" x14ac:dyDescent="0.3">
      <c r="A114" s="326" t="s">
        <v>381</v>
      </c>
      <c r="B114" s="326" t="s">
        <v>402</v>
      </c>
      <c r="C114" s="328" t="s">
        <v>247</v>
      </c>
      <c r="F114" s="26" t="str">
        <f t="shared" si="8"/>
        <v>-</v>
      </c>
    </row>
    <row r="115" spans="1:6" hidden="1" x14ac:dyDescent="0.3">
      <c r="A115" s="327" t="s">
        <v>382</v>
      </c>
      <c r="B115" s="327" t="s">
        <v>403</v>
      </c>
      <c r="C115" s="329" t="s">
        <v>247</v>
      </c>
      <c r="F115" s="26" t="str">
        <f t="shared" si="8"/>
        <v>-</v>
      </c>
    </row>
    <row r="116" spans="1:6" hidden="1" x14ac:dyDescent="0.3">
      <c r="A116" s="326" t="s">
        <v>383</v>
      </c>
      <c r="B116" s="326" t="s">
        <v>404</v>
      </c>
      <c r="C116" s="328" t="s">
        <v>247</v>
      </c>
      <c r="F116" s="26" t="str">
        <f t="shared" si="8"/>
        <v>-</v>
      </c>
    </row>
    <row r="117" spans="1:6" hidden="1" x14ac:dyDescent="0.3">
      <c r="A117" s="327" t="s">
        <v>384</v>
      </c>
      <c r="B117" s="327" t="s">
        <v>405</v>
      </c>
      <c r="C117" s="329" t="s">
        <v>247</v>
      </c>
      <c r="F117" s="26" t="str">
        <f t="shared" si="8"/>
        <v>-</v>
      </c>
    </row>
    <row r="118" spans="1:6" hidden="1" x14ac:dyDescent="0.3">
      <c r="A118" s="326" t="s">
        <v>385</v>
      </c>
      <c r="B118" s="326" t="s">
        <v>406</v>
      </c>
      <c r="C118" s="328" t="s">
        <v>247</v>
      </c>
      <c r="F118" s="26" t="str">
        <f t="shared" si="8"/>
        <v>-</v>
      </c>
    </row>
    <row r="119" spans="1:6" hidden="1" x14ac:dyDescent="0.3">
      <c r="A119" s="327" t="s">
        <v>386</v>
      </c>
      <c r="B119" s="327" t="s">
        <v>407</v>
      </c>
      <c r="C119" s="329" t="s">
        <v>247</v>
      </c>
      <c r="F119" s="26" t="str">
        <f t="shared" si="8"/>
        <v>-</v>
      </c>
    </row>
    <row r="120" spans="1:6" hidden="1" x14ac:dyDescent="0.3">
      <c r="A120" s="326" t="s">
        <v>387</v>
      </c>
      <c r="B120" s="326" t="s">
        <v>408</v>
      </c>
      <c r="C120" s="328" t="s">
        <v>247</v>
      </c>
      <c r="F120" s="26" t="str">
        <f t="shared" si="8"/>
        <v>-</v>
      </c>
    </row>
    <row r="121" spans="1:6" hidden="1" x14ac:dyDescent="0.3">
      <c r="A121" s="327" t="s">
        <v>388</v>
      </c>
      <c r="B121" s="327" t="s">
        <v>409</v>
      </c>
      <c r="C121" s="329" t="s">
        <v>247</v>
      </c>
      <c r="F121" s="26" t="str">
        <f t="shared" si="8"/>
        <v>-</v>
      </c>
    </row>
    <row r="122" spans="1:6" hidden="1" x14ac:dyDescent="0.3">
      <c r="A122" s="326" t="s">
        <v>389</v>
      </c>
      <c r="B122" s="326" t="s">
        <v>410</v>
      </c>
      <c r="C122" s="328" t="s">
        <v>247</v>
      </c>
      <c r="F122" s="26" t="str">
        <f t="shared" si="8"/>
        <v>-</v>
      </c>
    </row>
    <row r="123" spans="1:6" hidden="1" x14ac:dyDescent="0.3">
      <c r="A123" s="327" t="s">
        <v>390</v>
      </c>
      <c r="B123" s="327" t="s">
        <v>411</v>
      </c>
      <c r="C123" s="329" t="s">
        <v>247</v>
      </c>
      <c r="F123" s="26" t="str">
        <f t="shared" si="8"/>
        <v>-</v>
      </c>
    </row>
    <row r="124" spans="1:6" hidden="1" x14ac:dyDescent="0.3">
      <c r="A124" s="326" t="s">
        <v>391</v>
      </c>
      <c r="B124" s="326" t="s">
        <v>412</v>
      </c>
      <c r="C124" s="328" t="s">
        <v>247</v>
      </c>
      <c r="F124" s="26" t="str">
        <f t="shared" si="8"/>
        <v>-</v>
      </c>
    </row>
    <row r="125" spans="1:6" hidden="1" x14ac:dyDescent="0.3">
      <c r="A125" s="327" t="s">
        <v>392</v>
      </c>
      <c r="B125" s="327" t="s">
        <v>413</v>
      </c>
      <c r="C125" s="329" t="s">
        <v>247</v>
      </c>
      <c r="F125" s="26" t="str">
        <f t="shared" si="8"/>
        <v>-</v>
      </c>
    </row>
    <row r="126" spans="1:6" hidden="1" x14ac:dyDescent="0.3">
      <c r="A126" s="326" t="s">
        <v>393</v>
      </c>
      <c r="B126" s="326" t="s">
        <v>414</v>
      </c>
      <c r="C126" s="328" t="s">
        <v>247</v>
      </c>
      <c r="F126" s="26" t="str">
        <f t="shared" si="8"/>
        <v>-</v>
      </c>
    </row>
    <row r="127" spans="1:6" hidden="1" x14ac:dyDescent="0.3">
      <c r="A127" s="327" t="s">
        <v>415</v>
      </c>
      <c r="B127" s="327" t="s">
        <v>423</v>
      </c>
      <c r="C127" s="327" t="s">
        <v>247</v>
      </c>
      <c r="F127" s="26" t="str">
        <f t="shared" si="8"/>
        <v>-</v>
      </c>
    </row>
    <row r="128" spans="1:6" hidden="1" x14ac:dyDescent="0.3">
      <c r="A128" s="326" t="s">
        <v>416</v>
      </c>
      <c r="B128" s="326" t="s">
        <v>424</v>
      </c>
      <c r="C128" s="326" t="s">
        <v>247</v>
      </c>
      <c r="F128" s="26" t="str">
        <f t="shared" si="8"/>
        <v>-</v>
      </c>
    </row>
    <row r="129" spans="1:6" hidden="1" x14ac:dyDescent="0.3">
      <c r="A129" s="327" t="s">
        <v>417</v>
      </c>
      <c r="B129" s="327" t="s">
        <v>425</v>
      </c>
      <c r="C129" s="327" t="s">
        <v>247</v>
      </c>
      <c r="F129" s="26" t="str">
        <f t="shared" si="8"/>
        <v>-</v>
      </c>
    </row>
    <row r="130" spans="1:6" hidden="1" x14ac:dyDescent="0.3">
      <c r="A130" s="326" t="s">
        <v>418</v>
      </c>
      <c r="B130" s="326" t="s">
        <v>426</v>
      </c>
      <c r="C130" s="326" t="s">
        <v>247</v>
      </c>
      <c r="F130" s="26" t="str">
        <f t="shared" si="8"/>
        <v>-</v>
      </c>
    </row>
    <row r="131" spans="1:6" hidden="1" x14ac:dyDescent="0.3">
      <c r="A131" s="327" t="s">
        <v>419</v>
      </c>
      <c r="B131" s="327" t="s">
        <v>427</v>
      </c>
      <c r="C131" s="327" t="s">
        <v>247</v>
      </c>
      <c r="F131" s="26" t="str">
        <f t="shared" si="8"/>
        <v>-</v>
      </c>
    </row>
    <row r="132" spans="1:6" hidden="1" x14ac:dyDescent="0.3">
      <c r="A132" s="326" t="s">
        <v>420</v>
      </c>
      <c r="B132" s="326" t="s">
        <v>428</v>
      </c>
      <c r="C132" s="326" t="s">
        <v>247</v>
      </c>
      <c r="F132" s="26" t="str">
        <f t="shared" si="8"/>
        <v>-</v>
      </c>
    </row>
    <row r="133" spans="1:6" hidden="1" x14ac:dyDescent="0.3">
      <c r="A133" s="327" t="s">
        <v>421</v>
      </c>
      <c r="B133" s="327" t="s">
        <v>429</v>
      </c>
      <c r="C133" s="327" t="s">
        <v>247</v>
      </c>
      <c r="F133" s="26" t="str">
        <f t="shared" si="8"/>
        <v>-</v>
      </c>
    </row>
    <row r="134" spans="1:6" hidden="1" x14ac:dyDescent="0.3">
      <c r="A134" s="326" t="s">
        <v>422</v>
      </c>
      <c r="B134" s="326" t="s">
        <v>430</v>
      </c>
      <c r="C134" s="326" t="s">
        <v>247</v>
      </c>
      <c r="F134" s="26" t="str">
        <f t="shared" si="8"/>
        <v>-</v>
      </c>
    </row>
    <row r="135" spans="1:6" ht="27.6" hidden="1" x14ac:dyDescent="0.3">
      <c r="A135" s="337" t="s">
        <v>373</v>
      </c>
      <c r="B135" s="343" t="s">
        <v>394</v>
      </c>
      <c r="C135" s="339" t="s">
        <v>247</v>
      </c>
      <c r="F135" s="26" t="str">
        <f t="shared" si="8"/>
        <v>-</v>
      </c>
    </row>
    <row r="136" spans="1:6" ht="27.6" hidden="1" x14ac:dyDescent="0.3">
      <c r="A136" s="327" t="s">
        <v>374</v>
      </c>
      <c r="B136" s="334" t="s">
        <v>395</v>
      </c>
      <c r="C136" s="329" t="s">
        <v>247</v>
      </c>
      <c r="F136" s="26" t="str">
        <f t="shared" si="8"/>
        <v>-</v>
      </c>
    </row>
    <row r="137" spans="1:6" ht="27.6" hidden="1" x14ac:dyDescent="0.3">
      <c r="A137" s="326" t="s">
        <v>375</v>
      </c>
      <c r="B137" s="335" t="s">
        <v>396</v>
      </c>
      <c r="C137" s="328" t="s">
        <v>247</v>
      </c>
      <c r="F137" s="26" t="str">
        <f t="shared" si="8"/>
        <v>-</v>
      </c>
    </row>
    <row r="138" spans="1:6" ht="27.6" hidden="1" x14ac:dyDescent="0.3">
      <c r="A138" s="327" t="s">
        <v>376</v>
      </c>
      <c r="B138" s="334" t="s">
        <v>397</v>
      </c>
      <c r="C138" s="329" t="s">
        <v>247</v>
      </c>
      <c r="F138" s="26" t="str">
        <f t="shared" si="8"/>
        <v>-</v>
      </c>
    </row>
    <row r="139" spans="1:6" ht="27.6" hidden="1" x14ac:dyDescent="0.3">
      <c r="A139" s="326" t="s">
        <v>377</v>
      </c>
      <c r="B139" s="335" t="s">
        <v>398</v>
      </c>
      <c r="C139" s="328" t="s">
        <v>247</v>
      </c>
      <c r="F139" s="26" t="str">
        <f t="shared" si="8"/>
        <v>-</v>
      </c>
    </row>
    <row r="140" spans="1:6" ht="27.6" hidden="1" x14ac:dyDescent="0.3">
      <c r="A140" s="327" t="s">
        <v>378</v>
      </c>
      <c r="B140" s="334" t="s">
        <v>399</v>
      </c>
      <c r="C140" s="329" t="s">
        <v>247</v>
      </c>
      <c r="F140" s="26" t="str">
        <f t="shared" si="8"/>
        <v>-</v>
      </c>
    </row>
    <row r="141" spans="1:6" ht="27.6" hidden="1" x14ac:dyDescent="0.3">
      <c r="A141" s="326" t="s">
        <v>379</v>
      </c>
      <c r="B141" s="335" t="s">
        <v>400</v>
      </c>
      <c r="C141" s="328" t="s">
        <v>247</v>
      </c>
      <c r="F141" s="26" t="str">
        <f t="shared" si="8"/>
        <v>-</v>
      </c>
    </row>
    <row r="142" spans="1:6" ht="27.6" hidden="1" x14ac:dyDescent="0.3">
      <c r="A142" s="327" t="s">
        <v>386</v>
      </c>
      <c r="B142" s="334" t="s">
        <v>407</v>
      </c>
      <c r="C142" s="329" t="s">
        <v>247</v>
      </c>
      <c r="F142" s="26" t="str">
        <f t="shared" si="8"/>
        <v>-</v>
      </c>
    </row>
    <row r="143" spans="1:6" ht="27.6" hidden="1" x14ac:dyDescent="0.3">
      <c r="A143" s="326" t="s">
        <v>387</v>
      </c>
      <c r="B143" s="335" t="s">
        <v>408</v>
      </c>
      <c r="C143" s="328" t="s">
        <v>247</v>
      </c>
      <c r="F143" s="26" t="str">
        <f t="shared" si="8"/>
        <v>-</v>
      </c>
    </row>
    <row r="144" spans="1:6" ht="27.6" hidden="1" x14ac:dyDescent="0.3">
      <c r="A144" s="327" t="s">
        <v>388</v>
      </c>
      <c r="B144" s="334" t="s">
        <v>409</v>
      </c>
      <c r="C144" s="329" t="s">
        <v>247</v>
      </c>
      <c r="F144" s="26" t="str">
        <f t="shared" si="8"/>
        <v>-</v>
      </c>
    </row>
    <row r="145" spans="1:6" hidden="1" x14ac:dyDescent="0.3">
      <c r="A145" s="327" t="s">
        <v>415</v>
      </c>
      <c r="B145" s="327" t="s">
        <v>423</v>
      </c>
      <c r="C145" s="327" t="s">
        <v>247</v>
      </c>
      <c r="F145" s="26" t="str">
        <f t="shared" si="8"/>
        <v>-</v>
      </c>
    </row>
    <row r="146" spans="1:6" hidden="1" x14ac:dyDescent="0.3">
      <c r="A146" s="326" t="s">
        <v>416</v>
      </c>
      <c r="B146" s="326" t="s">
        <v>424</v>
      </c>
      <c r="C146" s="326" t="s">
        <v>247</v>
      </c>
      <c r="F146" s="26" t="str">
        <f t="shared" si="8"/>
        <v>-</v>
      </c>
    </row>
    <row r="147" spans="1:6" hidden="1" x14ac:dyDescent="0.3">
      <c r="A147" s="327" t="s">
        <v>417</v>
      </c>
      <c r="B147" s="327" t="s">
        <v>425</v>
      </c>
      <c r="C147" s="327" t="s">
        <v>247</v>
      </c>
      <c r="F147" s="26" t="str">
        <f t="shared" si="8"/>
        <v>-</v>
      </c>
    </row>
    <row r="148" spans="1:6" hidden="1" x14ac:dyDescent="0.3">
      <c r="A148" s="326" t="s">
        <v>418</v>
      </c>
      <c r="B148" s="326" t="s">
        <v>426</v>
      </c>
      <c r="C148" s="326" t="s">
        <v>247</v>
      </c>
      <c r="F148" s="26" t="str">
        <f t="shared" si="8"/>
        <v>-</v>
      </c>
    </row>
    <row r="149" spans="1:6" hidden="1" x14ac:dyDescent="0.3">
      <c r="A149" s="327" t="s">
        <v>419</v>
      </c>
      <c r="B149" s="327" t="s">
        <v>427</v>
      </c>
      <c r="C149" s="327" t="s">
        <v>247</v>
      </c>
      <c r="F149" s="26" t="str">
        <f t="shared" si="8"/>
        <v>-</v>
      </c>
    </row>
    <row r="150" spans="1:6" hidden="1" x14ac:dyDescent="0.3">
      <c r="A150" s="326" t="s">
        <v>420</v>
      </c>
      <c r="B150" s="326" t="s">
        <v>428</v>
      </c>
      <c r="C150" s="326" t="s">
        <v>247</v>
      </c>
      <c r="F150" s="26" t="str">
        <f t="shared" si="8"/>
        <v>-</v>
      </c>
    </row>
  </sheetData>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Instructions</vt:lpstr>
      <vt:lpstr>SCH A</vt:lpstr>
      <vt:lpstr>inputSchA</vt:lpstr>
      <vt:lpstr>SCH B</vt:lpstr>
      <vt:lpstr>inputSchB</vt:lpstr>
      <vt:lpstr>SCH C</vt:lpstr>
      <vt:lpstr>inputSchC</vt:lpstr>
      <vt:lpstr>SCH D</vt:lpstr>
      <vt:lpstr>inputSchD</vt:lpstr>
      <vt:lpstr>SCH E</vt:lpstr>
      <vt:lpstr>inputSchE</vt:lpstr>
      <vt:lpstr>SCH F</vt:lpstr>
      <vt:lpstr>inputSchF</vt:lpstr>
      <vt:lpstr>Acquisition Incentive Summary</vt:lpstr>
      <vt:lpstr>VLookup table</vt:lpstr>
      <vt:lpstr>'SCH B'!FP</vt:lpstr>
      <vt:lpstr>FP</vt:lpstr>
      <vt:lpstr>'SCH A'!Print_Area</vt:lpstr>
      <vt:lpstr>'SCH B'!Print_Area</vt:lpstr>
      <vt:lpstr>'SCH C'!Print_Area</vt:lpstr>
      <vt:lpstr>'SCH D'!Print_Area</vt:lpstr>
      <vt:lpstr>'SCH E'!Print_Area</vt:lpstr>
      <vt:lpstr>'SCH F'!Print_Area</vt:lpstr>
      <vt:lpstr>'SCH B'!Units</vt:lpstr>
      <vt:lpstr>Units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Kwock</dc:creator>
  <cp:lastModifiedBy>Abbenachandri, Panduranga CTR (OST)</cp:lastModifiedBy>
  <cp:lastPrinted>2018-10-11T15:07:40Z</cp:lastPrinted>
  <dcterms:created xsi:type="dcterms:W3CDTF">2013-04-09T17:16:13Z</dcterms:created>
  <dcterms:modified xsi:type="dcterms:W3CDTF">2021-10-06T02:39:34Z</dcterms:modified>
</cp:coreProperties>
</file>