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H:\SAFETY\HARDWARE\BARRIER\"/>
    </mc:Choice>
  </mc:AlternateContent>
  <bookViews>
    <workbookView xWindow="120" yWindow="150" windowWidth="15135" windowHeight="9240"/>
  </bookViews>
  <sheets>
    <sheet name="READ ME FIRST" sheetId="4" r:id="rId1"/>
    <sheet name="Definitions" sheetId="6" r:id="rId2"/>
    <sheet name="US Customary Calculations" sheetId="9" r:id="rId3"/>
    <sheet name="Metric Calculations " sheetId="10" r:id="rId4"/>
    <sheet name="USCust RDG 2011" sheetId="2" r:id="rId5"/>
    <sheet name="Metric RDG 2011" sheetId="3" r:id="rId6"/>
  </sheets>
  <definedNames>
    <definedName name="ADT">'USCust RDG 2011'!$I$27:$I$35</definedName>
    <definedName name="Definitions">Definitions!$B$10</definedName>
    <definedName name="EClear20">'USCust RDG 2011'!$C$41:$E$47</definedName>
    <definedName name="EClear30">'USCust RDG 2011'!$C$48:$E$54</definedName>
    <definedName name="EClear35">'USCust RDG 2011'!$C$55:$E$61</definedName>
    <definedName name="EClear40">'USCust RDG 2011'!$C$62:$E$68</definedName>
    <definedName name="EClear50">'USCust RDG 2011'!$C$69:$E$75</definedName>
    <definedName name="EClear55">'USCust RDG 2011'!$C$76:$E$82</definedName>
    <definedName name="EClear60">'USCust RDG 2011'!$C$83:$E$89</definedName>
    <definedName name="EClear70">'USCust RDG 2011'!$C$90:$E$96</definedName>
    <definedName name="ECurve">'USCust RDG 2011'!$C$103:$N$103</definedName>
    <definedName name="ECurveCorrection">'USCust RDG 2011'!$B$105:$N$114</definedName>
    <definedName name="ECurves">'USCust RDG 2011'!$C$103:$N$104</definedName>
    <definedName name="EFlare">'USCust RDG 2011'!$B$25:$E$33</definedName>
    <definedName name="ERunout">'USCust RDG 2011'!$G$7:$K$16</definedName>
    <definedName name="EShy">'USCust RDG 2011'!$B$5:$E$13</definedName>
    <definedName name="EShyLine">'USCust RDG 2011'!$B$6:$C$17</definedName>
    <definedName name="ESpeed">'USCust RDG 2011'!$H$22:$H$34</definedName>
    <definedName name="ETerminals">'USCust RDG 2011'!$M$22:$M$25</definedName>
    <definedName name="ETransitions">'USCust RDG 2011'!$L$22:$L$28</definedName>
    <definedName name="FillSlope">'USCust RDG 2011'!$J$22:$J$23</definedName>
    <definedName name="Hints">'READ ME FIRST'!$A$6</definedName>
    <definedName name="MClear100">'Metric RDG 2011'!$C$82:$E$88</definedName>
    <definedName name="MClear110">'Metric RDG 2011'!$C$89:$E$95</definedName>
    <definedName name="MClear30">'Metric RDG 2011'!$C$40:$E$46</definedName>
    <definedName name="MClear50">'Metric RDG 2011'!$C$47:$E$53</definedName>
    <definedName name="MClear55">'Metric RDG 2011'!$C$54:$E$60</definedName>
    <definedName name="MClear60">'Metric RDG 2011'!$C$61:$E$67</definedName>
    <definedName name="MClear80">'Metric RDG 2011'!$C$68:$E$74</definedName>
    <definedName name="MClear90">'Metric RDG 2011'!$C$75:$E$81</definedName>
    <definedName name="MCurve">'Metric RDG 2011'!$C$102:$N$102</definedName>
    <definedName name="MCurveCorrection">'Metric RDG 2011'!$B$104:$N$112</definedName>
    <definedName name="MCurves">'Metric RDG 2011'!$C$102:$N$103</definedName>
    <definedName name="MFlare">'Metric RDG 2011'!$B$24:$E$32</definedName>
    <definedName name="MRunout">'Metric RDG 2011'!$G$7:$K$15</definedName>
    <definedName name="MShyLine">'Metric RDG 2011'!$B$6:$C$16</definedName>
    <definedName name="MSpeed">'Metric RDG 2011'!$H$20:$H$30</definedName>
    <definedName name="MTerminal">'Metric RDG 2011'!$M$20:$M$23</definedName>
    <definedName name="MTransition">'Metric RDG 2011'!$L$20:$L$26</definedName>
    <definedName name="Option">'USCust RDG 2011'!$E$3:$E$4</definedName>
    <definedName name="_xlnm.Print_Area" localSheetId="5">'Metric RDG 2011'!$A$1:$N$112</definedName>
    <definedName name="_xlnm.Print_Area" localSheetId="4">'USCust RDG 2011'!$A$1:$N$114</definedName>
  </definedNames>
  <calcPr calcId="171027"/>
</workbook>
</file>

<file path=xl/calcChain.xml><?xml version="1.0" encoding="utf-8"?>
<calcChain xmlns="http://schemas.openxmlformats.org/spreadsheetml/2006/main">
  <c r="E20" i="9" l="1"/>
  <c r="F21" i="9" s="1"/>
  <c r="N15" i="9" l="1"/>
  <c r="F15" i="9"/>
  <c r="F15" i="10"/>
  <c r="M17" i="9"/>
  <c r="M18" i="9" s="1"/>
  <c r="L16" i="9"/>
  <c r="D16" i="9"/>
  <c r="L18" i="9"/>
  <c r="L17" i="9"/>
  <c r="E17" i="9"/>
  <c r="E18" i="9" s="1"/>
  <c r="D18" i="9"/>
  <c r="D17" i="9"/>
  <c r="N15" i="10"/>
  <c r="D17" i="10" l="1"/>
  <c r="J21" i="10" l="1"/>
  <c r="B21" i="10"/>
  <c r="J21" i="9"/>
  <c r="B21" i="9"/>
  <c r="M32" i="10"/>
  <c r="M20" i="10" l="1"/>
  <c r="N21" i="10" s="1"/>
  <c r="E20" i="10"/>
  <c r="F21" i="10" s="1"/>
  <c r="M20" i="9"/>
  <c r="N21" i="9" s="1"/>
  <c r="F7" i="10" l="1"/>
  <c r="F6" i="10"/>
  <c r="K17" i="10"/>
  <c r="M17" i="10"/>
  <c r="E17" i="10"/>
  <c r="F5" i="10"/>
  <c r="F4" i="10"/>
  <c r="C17" i="10"/>
  <c r="L16" i="10"/>
  <c r="D16" i="10"/>
  <c r="L57" i="10"/>
  <c r="J57" i="10"/>
  <c r="D57" i="10"/>
  <c r="B57" i="10"/>
  <c r="J56" i="10"/>
  <c r="B56" i="10"/>
  <c r="N20" i="10"/>
  <c r="F20" i="10"/>
  <c r="L18" i="10"/>
  <c r="K18" i="10"/>
  <c r="D18" i="10"/>
  <c r="C18" i="10"/>
  <c r="L17" i="10"/>
  <c r="J17" i="10"/>
  <c r="B17" i="10"/>
  <c r="J16" i="10"/>
  <c r="B16" i="10"/>
  <c r="E7" i="10"/>
  <c r="E6" i="10"/>
  <c r="J17" i="9"/>
  <c r="J16" i="9"/>
  <c r="M18" i="10" l="1"/>
  <c r="M29" i="10"/>
  <c r="M30" i="10"/>
  <c r="E18" i="10"/>
  <c r="F11" i="10" s="1"/>
  <c r="L57" i="9"/>
  <c r="J57" i="9"/>
  <c r="J56" i="9"/>
  <c r="N20" i="9"/>
  <c r="K18" i="9"/>
  <c r="D57" i="9"/>
  <c r="B57" i="9"/>
  <c r="B56" i="9"/>
  <c r="F20" i="9"/>
  <c r="C18" i="9"/>
  <c r="B17" i="9"/>
  <c r="B16" i="9"/>
  <c r="F7" i="9"/>
  <c r="E7" i="9"/>
  <c r="F6" i="9"/>
  <c r="E6" i="9"/>
  <c r="F5" i="9"/>
  <c r="F4" i="9"/>
  <c r="N11" i="10" l="1"/>
  <c r="M24" i="10" s="1"/>
  <c r="K17" i="9"/>
  <c r="C17" i="9"/>
  <c r="E25" i="10"/>
  <c r="E29" i="10"/>
  <c r="E30" i="10"/>
  <c r="O29" i="10"/>
  <c r="E24" i="10"/>
  <c r="G24" i="10" s="1"/>
  <c r="G57" i="10" s="1"/>
  <c r="F11" i="9"/>
  <c r="N11" i="9"/>
  <c r="M25" i="10" l="1"/>
  <c r="O24" i="10" s="1"/>
  <c r="O57" i="10" s="1"/>
  <c r="M29" i="9"/>
  <c r="E30" i="9"/>
  <c r="E29" i="9"/>
  <c r="G29" i="10"/>
  <c r="E32" i="10" s="1"/>
  <c r="O58" i="10"/>
  <c r="H24" i="10"/>
  <c r="M24" i="9"/>
  <c r="M25" i="9"/>
  <c r="M30" i="9"/>
  <c r="E25" i="9"/>
  <c r="E24" i="9"/>
  <c r="P24" i="10" l="1"/>
  <c r="O29" i="9"/>
  <c r="M32" i="9" s="1"/>
  <c r="G58" i="10"/>
  <c r="O24" i="9"/>
  <c r="O57" i="9" s="1"/>
  <c r="G29" i="9"/>
  <c r="G24" i="9"/>
  <c r="E32" i="9" l="1"/>
  <c r="G58" i="9"/>
  <c r="O58" i="9"/>
  <c r="H24" i="9"/>
  <c r="G57" i="9"/>
  <c r="P24" i="9"/>
</calcChain>
</file>

<file path=xl/sharedStrings.xml><?xml version="1.0" encoding="utf-8"?>
<sst xmlns="http://schemas.openxmlformats.org/spreadsheetml/2006/main" count="355" uniqueCount="150">
  <si>
    <t>Design Speed</t>
  </si>
  <si>
    <t>(mph)</t>
  </si>
  <si>
    <t>Shy Line Offset, Ls</t>
  </si>
  <si>
    <t>(ft)</t>
  </si>
  <si>
    <t>rigid system</t>
  </si>
  <si>
    <t>Inside Shy Line</t>
  </si>
  <si>
    <t>Beyond Shy Line</t>
  </si>
  <si>
    <t>Traffic Volume (ADT)</t>
  </si>
  <si>
    <t>Runout Length, Lr (ft)</t>
  </si>
  <si>
    <t>a</t>
  </si>
  <si>
    <t>Design ADT</t>
  </si>
  <si>
    <t>Fill Slopes</t>
  </si>
  <si>
    <t>Cut Slopes</t>
  </si>
  <si>
    <t>45-50 mph</t>
  </si>
  <si>
    <t>semi-rigid</t>
  </si>
  <si>
    <t>55 mph</t>
  </si>
  <si>
    <t>60 mph</t>
  </si>
  <si>
    <t>65-70 mph</t>
  </si>
  <si>
    <t>X =</t>
  </si>
  <si>
    <t>Y =</t>
  </si>
  <si>
    <t>Lh + (b/a)L1 - L2</t>
  </si>
  <si>
    <t>(b/a) + (Lh/Lr)</t>
  </si>
  <si>
    <t>Lh - X(Lh/Lr)</t>
  </si>
  <si>
    <t>Lh  - L2</t>
  </si>
  <si>
    <t>(Lh/Lr)</t>
  </si>
  <si>
    <t>(km/h)</t>
  </si>
  <si>
    <t>(m)</t>
  </si>
  <si>
    <t>Runout Length, Lr (m)</t>
  </si>
  <si>
    <t>70-80 km/h</t>
  </si>
  <si>
    <t>90 km/h</t>
  </si>
  <si>
    <t>100 km/h</t>
  </si>
  <si>
    <t>110 km/h</t>
  </si>
  <si>
    <t>ADT</t>
  </si>
  <si>
    <t>Ls</t>
  </si>
  <si>
    <t>Lr</t>
  </si>
  <si>
    <t>km/h</t>
  </si>
  <si>
    <t>mph</t>
  </si>
  <si>
    <t>Fill Slope</t>
  </si>
  <si>
    <t>Lh</t>
  </si>
  <si>
    <t>=</t>
  </si>
  <si>
    <t>Radius (m)</t>
  </si>
  <si>
    <t>Design Speed (km/h)</t>
  </si>
  <si>
    <t>Radius (ft)</t>
  </si>
  <si>
    <t>Design Speed (mph)</t>
  </si>
  <si>
    <t>Givens</t>
  </si>
  <si>
    <t>LookUps</t>
  </si>
  <si>
    <t>Runout Length</t>
  </si>
  <si>
    <t>Shy Distance</t>
  </si>
  <si>
    <t>Clear Zone</t>
  </si>
  <si>
    <t>Lh is the smaller of La or Lc</t>
  </si>
  <si>
    <t>LON for Parallel Run (no system flare)</t>
  </si>
  <si>
    <t>LON for Flared Run</t>
  </si>
  <si>
    <t>System Flare?</t>
  </si>
  <si>
    <t>HINTS</t>
  </si>
  <si>
    <t>ADT  (&lt;=)</t>
  </si>
  <si>
    <t>&lt;30 km/h</t>
  </si>
  <si>
    <t>40-50 km/h</t>
  </si>
  <si>
    <t>55 km/h</t>
  </si>
  <si>
    <t>60 km/h</t>
  </si>
  <si>
    <t>&lt;20 mph</t>
  </si>
  <si>
    <t>25-30 mph</t>
  </si>
  <si>
    <t>35 mph</t>
  </si>
  <si>
    <t>40 mph</t>
  </si>
  <si>
    <t>Yes</t>
  </si>
  <si>
    <t>No</t>
  </si>
  <si>
    <t>Flared</t>
  </si>
  <si>
    <t>Terminal Length</t>
  </si>
  <si>
    <t>Transition</t>
  </si>
  <si>
    <t>Terminal</t>
  </si>
  <si>
    <t>Parallel</t>
  </si>
  <si>
    <t>Guardrail Length</t>
  </si>
  <si>
    <t>On Outside Curve?</t>
  </si>
  <si>
    <t>Connect to Structure?</t>
  </si>
  <si>
    <t>1. Green cells are user data entry cells with drop-down boxes or text entry.</t>
  </si>
  <si>
    <t>2. Other colored cells are calculating cells.</t>
  </si>
  <si>
    <t>4. Bridge rail that can be included in the LON is the length from the top of the embankment or the edge of the water or hazard, whichever is closest.</t>
  </si>
  <si>
    <t>Over 10000</t>
  </si>
  <si>
    <t>5000-10000</t>
  </si>
  <si>
    <t>1000-5000</t>
  </si>
  <si>
    <t>under 1000</t>
  </si>
  <si>
    <t>Data from RDG 2011 and FLHBG (updated for 2011)</t>
  </si>
  <si>
    <t>10000+</t>
  </si>
  <si>
    <t>Data from RDG 2011 and FLHBG</t>
  </si>
  <si>
    <t>Definitions:</t>
  </si>
  <si>
    <t>a:b</t>
  </si>
  <si>
    <r>
      <t xml:space="preserve">The lateral distance from the edge of the traveled way to the </t>
    </r>
    <r>
      <rPr>
        <u/>
        <sz val="11"/>
        <rFont val="Arial"/>
        <family val="2"/>
      </rPr>
      <t>far side</t>
    </r>
    <r>
      <rPr>
        <sz val="11"/>
        <rFont val="Arial"/>
        <family val="2"/>
      </rPr>
      <t xml:space="preserve"> of the fixed object or hazard.</t>
    </r>
  </si>
  <si>
    <r>
      <t xml:space="preserve">The lateral distance from the edge of the traveled way to the </t>
    </r>
    <r>
      <rPr>
        <u/>
        <sz val="11"/>
        <rFont val="Arial"/>
        <family val="2"/>
      </rPr>
      <t>front edge</t>
    </r>
    <r>
      <rPr>
        <sz val="11"/>
        <rFont val="Arial"/>
        <family val="2"/>
      </rPr>
      <t xml:space="preserve"> of the hazard.</t>
    </r>
  </si>
  <si>
    <r>
      <t>L</t>
    </r>
    <r>
      <rPr>
        <b/>
        <vertAlign val="subscript"/>
        <sz val="12"/>
        <rFont val="Arial"/>
        <family val="2"/>
      </rPr>
      <t>A</t>
    </r>
    <r>
      <rPr>
        <b/>
        <sz val="12"/>
        <rFont val="Arial"/>
        <family val="2"/>
      </rPr>
      <t>:</t>
    </r>
  </si>
  <si>
    <r>
      <t>L</t>
    </r>
    <r>
      <rPr>
        <b/>
        <vertAlign val="subscript"/>
        <sz val="12"/>
        <rFont val="Arial"/>
        <family val="2"/>
      </rPr>
      <t>C</t>
    </r>
    <r>
      <rPr>
        <b/>
        <sz val="12"/>
        <rFont val="Arial"/>
        <family val="2"/>
      </rPr>
      <t>:</t>
    </r>
  </si>
  <si>
    <r>
      <t>L</t>
    </r>
    <r>
      <rPr>
        <b/>
        <vertAlign val="subscript"/>
        <sz val="12"/>
        <rFont val="Arial"/>
        <family val="2"/>
      </rPr>
      <t>3</t>
    </r>
    <r>
      <rPr>
        <b/>
        <sz val="12"/>
        <rFont val="Arial"/>
        <family val="2"/>
      </rPr>
      <t>:</t>
    </r>
  </si>
  <si>
    <r>
      <t>L</t>
    </r>
    <r>
      <rPr>
        <b/>
        <vertAlign val="subscript"/>
        <sz val="12"/>
        <rFont val="Arial"/>
        <family val="2"/>
      </rPr>
      <t>2</t>
    </r>
    <r>
      <rPr>
        <b/>
        <sz val="12"/>
        <rFont val="Arial"/>
        <family val="2"/>
      </rPr>
      <t>:</t>
    </r>
  </si>
  <si>
    <r>
      <t>L</t>
    </r>
    <r>
      <rPr>
        <b/>
        <vertAlign val="subscript"/>
        <sz val="12"/>
        <rFont val="Arial"/>
        <family val="2"/>
      </rPr>
      <t>R</t>
    </r>
    <r>
      <rPr>
        <b/>
        <sz val="12"/>
        <rFont val="Arial"/>
        <family val="2"/>
      </rPr>
      <t>:</t>
    </r>
  </si>
  <si>
    <r>
      <t>L</t>
    </r>
    <r>
      <rPr>
        <b/>
        <vertAlign val="subscript"/>
        <sz val="12"/>
        <rFont val="Arial"/>
        <family val="2"/>
      </rPr>
      <t>S</t>
    </r>
    <r>
      <rPr>
        <b/>
        <sz val="12"/>
        <rFont val="Arial"/>
        <family val="2"/>
      </rPr>
      <t>:</t>
    </r>
  </si>
  <si>
    <r>
      <t>L</t>
    </r>
    <r>
      <rPr>
        <b/>
        <vertAlign val="subscript"/>
        <sz val="12"/>
        <rFont val="Arial"/>
        <family val="2"/>
      </rPr>
      <t>1</t>
    </r>
    <r>
      <rPr>
        <b/>
        <sz val="12"/>
        <rFont val="Arial"/>
        <family val="2"/>
      </rPr>
      <t>:</t>
    </r>
  </si>
  <si>
    <t>The runout length, measured longitudinally from the upstream extent of the hazard along the edge of roadway to the point where a vehicle is assumed to leave the roadway. (See RDG Table 5-10 and FLHBG Table 4.1.)</t>
  </si>
  <si>
    <r>
      <t>The clear zone width, measured from the edge of the traveled way.  L</t>
    </r>
    <r>
      <rPr>
        <vertAlign val="subscript"/>
        <sz val="11"/>
        <rFont val="Arial"/>
        <family val="2"/>
      </rPr>
      <t>C</t>
    </r>
    <r>
      <rPr>
        <sz val="11"/>
        <rFont val="Arial"/>
        <family val="2"/>
      </rPr>
      <t xml:space="preserve"> serves as a check on L</t>
    </r>
    <r>
      <rPr>
        <vertAlign val="subscript"/>
        <sz val="11"/>
        <rFont val="Arial"/>
        <family val="2"/>
      </rPr>
      <t>A</t>
    </r>
    <r>
      <rPr>
        <sz val="11"/>
        <rFont val="Arial"/>
        <family val="2"/>
      </rPr>
      <t>.  *It is not necessary to shield a hazard beyond the clear zone, so L</t>
    </r>
    <r>
      <rPr>
        <vertAlign val="subscript"/>
        <sz val="11"/>
        <rFont val="Arial"/>
        <family val="2"/>
      </rPr>
      <t>A</t>
    </r>
    <r>
      <rPr>
        <sz val="11"/>
        <rFont val="Arial"/>
        <family val="2"/>
      </rPr>
      <t xml:space="preserve"> does not have to be greater than L</t>
    </r>
    <r>
      <rPr>
        <vertAlign val="subscript"/>
        <sz val="11"/>
        <rFont val="Arial"/>
        <family val="2"/>
      </rPr>
      <t>C</t>
    </r>
    <r>
      <rPr>
        <sz val="11"/>
        <rFont val="Arial"/>
        <family val="2"/>
      </rPr>
      <t>. (See RDG Table 3-1 and FLHBG Table 2.1.)</t>
    </r>
  </si>
  <si>
    <r>
      <t xml:space="preserve">If the barrier is placed on a flare, the flare is described as a:b. The flare a:b is in the standard section of the barrier and is </t>
    </r>
    <r>
      <rPr>
        <u/>
        <sz val="11"/>
        <rFont val="Arial"/>
        <family val="2"/>
      </rPr>
      <t>not</t>
    </r>
    <r>
      <rPr>
        <sz val="11"/>
        <rFont val="Arial"/>
        <family val="2"/>
      </rPr>
      <t xml:space="preserve"> related to any flare that may be required for an end treatment. A flatter flare is suggested when a barrier is located within the shy-line offset distance. (See RDG Table 5-9 and FLHBG Table 4.3.)</t>
    </r>
  </si>
  <si>
    <t>The AASHTO Roadside Design Guide 2011, 4th Edition, is available within each FLH Division office.</t>
  </si>
  <si>
    <t>3. The LON includes bridge rail transitions, some of the bridge rail length, and all of a terminal except for the two section before the very end (usually around 12.5').</t>
  </si>
  <si>
    <t>5. Clear Zone had to be split into two formulas (and cells) due to limitations within Excel for the number of layers within a formula.</t>
  </si>
  <si>
    <t>Suggested Shy Line Offset</t>
  </si>
  <si>
    <t>RDG T5-7 &amp; FLHBG T4.2</t>
  </si>
  <si>
    <t>Suggested Runout Lengths</t>
  </si>
  <si>
    <t>RDG T5-10 &amp; FLHBG T4.1</t>
  </si>
  <si>
    <t>Suggested Flare Rates, a:b where b=1</t>
  </si>
  <si>
    <t>RDG T5-9 &amp; FLHBG T4.3</t>
  </si>
  <si>
    <t>Clear Zone Distances (ft from edge of driving lane)</t>
  </si>
  <si>
    <t>RDG T3-1 &amp; FLHBG T2.1</t>
  </si>
  <si>
    <t>Curve Correction</t>
  </si>
  <si>
    <t>Clear Zone Distances (m from edge of driving lane)</t>
  </si>
  <si>
    <t>The shy-line offset distance beyond which a roadside object will not be perceived as an obstacle and result in a motorist's reducing speed or changing vehicle position on the roadway. A shy-line offset should be provided if possible, but is not always needed on low volume roads. (See RDG Table 5-7 and FLHBG Table 4.2.)</t>
  </si>
  <si>
    <r>
      <t>The offset of the roadside barrier measured from the edge of the traveled way to the front face of the barrier, and is generally the shoulder width plus any extra widening for the guardrail. L</t>
    </r>
    <r>
      <rPr>
        <vertAlign val="subscript"/>
        <sz val="11"/>
        <rFont val="Arial"/>
        <family val="2"/>
      </rPr>
      <t>2</t>
    </r>
    <r>
      <rPr>
        <sz val="11"/>
        <rFont val="Arial"/>
        <family val="2"/>
      </rPr>
      <t xml:space="preserve"> should be greater than the L</t>
    </r>
    <r>
      <rPr>
        <vertAlign val="subscript"/>
        <sz val="11"/>
        <rFont val="Arial"/>
        <family val="2"/>
      </rPr>
      <t>S</t>
    </r>
    <r>
      <rPr>
        <sz val="11"/>
        <rFont val="Arial"/>
        <family val="2"/>
      </rPr>
      <t xml:space="preserve"> shy-line offset, but that may not always be practical for short, isolated installations.</t>
    </r>
  </si>
  <si>
    <r>
      <t>If a flare in the standard section is used, L</t>
    </r>
    <r>
      <rPr>
        <vertAlign val="subscript"/>
        <sz val="11"/>
        <rFont val="Arial"/>
        <family val="2"/>
      </rPr>
      <t>1</t>
    </r>
    <r>
      <rPr>
        <sz val="11"/>
        <rFont val="Arial"/>
        <family val="2"/>
      </rPr>
      <t xml:space="preserve"> is the tangent length of the barrier measured from the upstream limit of the hazard and defines the beginning point of the flare.</t>
    </r>
  </si>
  <si>
    <t>RDG T3-2 &amp; FLHBG T2.2</t>
  </si>
  <si>
    <t>METRIC</t>
  </si>
  <si>
    <t>US CUSTOMARY</t>
  </si>
  <si>
    <t>See Definitions for more information.</t>
  </si>
  <si>
    <t>REMEMBER</t>
  </si>
  <si>
    <t>Calculate Length of Need for adjacent approaching traffic.</t>
  </si>
  <si>
    <t>Calculate Length of Need for opposing traffic.</t>
  </si>
  <si>
    <t>Contract Amount for Approach Guardrail</t>
  </si>
  <si>
    <t>Contract Amount for Opposing Guardrail</t>
  </si>
  <si>
    <t>L2 (from ETW right, ft)</t>
  </si>
  <si>
    <t>L2 (from ETW left, ft)</t>
  </si>
  <si>
    <t>Include length connecting the approach and opposing guardrail installations</t>
  </si>
  <si>
    <t>Contract Amount for In-between Guardrail</t>
  </si>
  <si>
    <t>L2 (from ETW right, m)</t>
  </si>
  <si>
    <t>L2 (from ETW left, m)</t>
  </si>
  <si>
    <t>The FLH Barrier Guide for Low Volume and Low Speed Roads is available within each FLH Division Office and on-line at:</t>
  </si>
  <si>
    <t>Determine barrier that is in-between approaching and opposing traffic ends.</t>
  </si>
  <si>
    <t>Add together these lengths for overall contract length of guardrail installation.</t>
  </si>
  <si>
    <t>Hints</t>
  </si>
  <si>
    <t>1V:5H to 1V:4H</t>
  </si>
  <si>
    <t>1V:6H or flatter</t>
  </si>
  <si>
    <t>1V:3H</t>
  </si>
  <si>
    <t>X:</t>
  </si>
  <si>
    <t>Y:</t>
  </si>
  <si>
    <t>The Length of Need (LON) is the total length of a longitudinal barrier needed upstream to shield an area of concern. The LON point for a given system is usually confirmed by successfully passing a redirection crash test with impace at the LON point.</t>
  </si>
  <si>
    <r>
      <t xml:space="preserve">The lateral offset of the end of the LON for when the barrier system has a flare. </t>
    </r>
    <r>
      <rPr>
        <u/>
        <sz val="11"/>
        <rFont val="Arial"/>
        <family val="2"/>
      </rPr>
      <t>NOTE:</t>
    </r>
    <r>
      <rPr>
        <sz val="11"/>
        <rFont val="Arial"/>
        <family val="2"/>
      </rPr>
      <t xml:space="preserve"> this is </t>
    </r>
    <r>
      <rPr>
        <b/>
        <sz val="11"/>
        <rFont val="Arial"/>
        <family val="2"/>
      </rPr>
      <t>NOT</t>
    </r>
    <r>
      <rPr>
        <sz val="11"/>
        <rFont val="Arial"/>
        <family val="2"/>
      </rPr>
      <t xml:space="preserve"> the same as a flare associated with a terminal.</t>
    </r>
  </si>
  <si>
    <t>Use Terminal</t>
  </si>
  <si>
    <t>La (ft)</t>
  </si>
  <si>
    <t>Length (ft)</t>
  </si>
  <si>
    <t>La (m)</t>
  </si>
  <si>
    <t>Length (m)</t>
  </si>
  <si>
    <r>
      <t xml:space="preserve">Approaching Traffic LON </t>
    </r>
    <r>
      <rPr>
        <b/>
        <i/>
        <sz val="11"/>
        <rFont val="Arial"/>
        <family val="2"/>
      </rPr>
      <t>(measured from the right side of vehicle, or ETW)</t>
    </r>
  </si>
  <si>
    <r>
      <t xml:space="preserve">Opposing Traffic LON </t>
    </r>
    <r>
      <rPr>
        <b/>
        <i/>
        <sz val="11"/>
        <rFont val="Arial"/>
        <family val="2"/>
      </rPr>
      <t>(measured from the left side of vehicle, or centerline)</t>
    </r>
  </si>
  <si>
    <t xml:space="preserve">Includes FLH Barrier Guide 2005 (FLHBG) </t>
  </si>
  <si>
    <t>Edition: June 26, 2018</t>
  </si>
  <si>
    <t>https://flh.fhwa.dot.gov/resources/design/safety.htm</t>
  </si>
  <si>
    <t>MASH terminal LONs are NOT included at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</si>
</sst>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7" x14ac:knownFonts="1">
    <font>
      <sz val="10"/>
      <name val="Arial"/>
      <family val="2"/>
    </font>
    <font>
      <sz val="10"/>
      <name val="Arial"/>
      <family val="2"/>
    </font>
    <font>
      <b/>
      <sz val="10"/>
      <name val="Arial"/>
      <family val="2"/>
    </font>
    <font>
      <sz val="10"/>
      <name val="Arial"/>
      <family val="2"/>
    </font>
    <font>
      <sz val="8"/>
      <name val="Arial"/>
      <family val="2"/>
    </font>
    <font>
      <sz val="10"/>
      <color indexed="22"/>
      <name val="Arial"/>
      <family val="2"/>
    </font>
    <font>
      <sz val="10"/>
      <color indexed="15"/>
      <name val="Arial"/>
      <family val="2"/>
    </font>
    <font>
      <sz val="10"/>
      <color theme="0"/>
      <name val="Arial"/>
      <family val="2"/>
    </font>
    <font>
      <b/>
      <sz val="10"/>
      <color theme="1"/>
      <name val="Arial"/>
      <family val="2"/>
    </font>
    <font>
      <b/>
      <i/>
      <sz val="10"/>
      <name val="Arial"/>
      <family val="2"/>
    </font>
    <font>
      <sz val="10"/>
      <color theme="1"/>
      <name val="Arial"/>
      <family val="2"/>
    </font>
    <font>
      <b/>
      <sz val="12"/>
      <name val="Arial"/>
      <family val="2"/>
    </font>
    <font>
      <sz val="12"/>
      <name val="Arial"/>
      <family val="2"/>
    </font>
    <font>
      <sz val="12"/>
      <color theme="0" tint="-0.14999847407452621"/>
      <name val="Arial"/>
      <family val="2"/>
    </font>
    <font>
      <u/>
      <sz val="10"/>
      <color indexed="12"/>
      <name val="Arial"/>
      <family val="2"/>
    </font>
    <font>
      <u/>
      <sz val="10"/>
      <color indexed="12"/>
      <name val="Arial"/>
      <family val="2"/>
    </font>
    <font>
      <sz val="11"/>
      <name val="Arial"/>
      <family val="2"/>
    </font>
    <font>
      <vertAlign val="subscript"/>
      <sz val="11"/>
      <name val="Arial"/>
      <family val="2"/>
    </font>
    <font>
      <u/>
      <sz val="11"/>
      <name val="Arial"/>
      <family val="2"/>
    </font>
    <font>
      <b/>
      <vertAlign val="subscript"/>
      <sz val="12"/>
      <name val="Arial"/>
      <family val="2"/>
    </font>
    <font>
      <b/>
      <sz val="11"/>
      <name val="Arial"/>
      <family val="2"/>
    </font>
    <font>
      <b/>
      <sz val="14"/>
      <name val="Arial"/>
      <family val="2"/>
    </font>
    <font>
      <b/>
      <i/>
      <sz val="10"/>
      <color rgb="FFFF0000"/>
      <name val="Arial"/>
      <family val="2"/>
    </font>
    <font>
      <sz val="9"/>
      <name val="Arial"/>
      <family val="2"/>
    </font>
    <font>
      <b/>
      <sz val="10"/>
      <color rgb="FFFF0000"/>
      <name val="Arial"/>
      <family val="2"/>
    </font>
    <font>
      <b/>
      <i/>
      <sz val="11"/>
      <name val="Arial"/>
      <family val="2"/>
    </font>
    <font>
      <i/>
      <sz val="10"/>
      <name val="Arial"/>
      <family val="2"/>
    </font>
  </fonts>
  <fills count="1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57"/>
        <bgColor indexed="64"/>
      </patternFill>
    </fill>
    <fill>
      <patternFill patternType="solid">
        <fgColor indexed="4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22"/>
      </left>
      <right style="medium">
        <color indexed="64"/>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246">
    <xf numFmtId="0" fontId="0" fillId="0" borderId="0" xfId="0"/>
    <xf numFmtId="0" fontId="0" fillId="2" borderId="2" xfId="0" applyFill="1" applyBorder="1" applyAlignment="1">
      <alignment horizontal="center"/>
    </xf>
    <xf numFmtId="0" fontId="0" fillId="3" borderId="1" xfId="0" applyFill="1" applyBorder="1" applyAlignment="1">
      <alignment horizontal="center"/>
    </xf>
    <xf numFmtId="0" fontId="0" fillId="3" borderId="1" xfId="0" applyNumberFormat="1" applyFill="1" applyBorder="1" applyAlignment="1">
      <alignment horizontal="center"/>
    </xf>
    <xf numFmtId="0" fontId="0" fillId="3" borderId="3" xfId="0" applyFill="1" applyBorder="1" applyAlignment="1">
      <alignment horizontal="center"/>
    </xf>
    <xf numFmtId="0" fontId="0" fillId="3" borderId="2" xfId="0" applyFill="1" applyBorder="1" applyAlignment="1">
      <alignment horizontal="center"/>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4" borderId="1" xfId="0" applyFill="1" applyBorder="1" applyAlignment="1">
      <alignment horizontal="center"/>
    </xf>
    <xf numFmtId="20" fontId="0" fillId="4" borderId="1" xfId="0" quotePrefix="1" applyNumberFormat="1" applyFill="1" applyBorder="1" applyAlignment="1">
      <alignment horizontal="center"/>
    </xf>
    <xf numFmtId="0" fontId="0" fillId="0" borderId="4" xfId="0" applyBorder="1"/>
    <xf numFmtId="0" fontId="0" fillId="5" borderId="1" xfId="0" applyFill="1" applyBorder="1" applyAlignment="1">
      <alignment horizontal="center"/>
    </xf>
    <xf numFmtId="0" fontId="0" fillId="0" borderId="0" xfId="0" applyFill="1" applyBorder="1"/>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Fill="1" applyBorder="1" applyAlignment="1">
      <alignment wrapText="1"/>
    </xf>
    <xf numFmtId="0" fontId="0" fillId="0" borderId="0" xfId="0" applyFill="1" applyBorder="1" applyAlignment="1"/>
    <xf numFmtId="0" fontId="0" fillId="0" borderId="0" xfId="0" applyFill="1" applyAlignment="1"/>
    <xf numFmtId="0" fontId="0" fillId="4" borderId="1" xfId="0" quotePrefix="1" applyFill="1" applyBorder="1" applyAlignment="1">
      <alignment horizontal="center"/>
    </xf>
    <xf numFmtId="0" fontId="0" fillId="0" borderId="0" xfId="0" applyFill="1" applyBorder="1" applyAlignment="1">
      <alignment horizontal="right"/>
    </xf>
    <xf numFmtId="0" fontId="0" fillId="0" borderId="2" xfId="0" applyBorder="1" applyAlignment="1">
      <alignment horizontal="center" wrapText="1"/>
    </xf>
    <xf numFmtId="0" fontId="0" fillId="0" borderId="0" xfId="0" applyBorder="1"/>
    <xf numFmtId="0" fontId="2" fillId="0" borderId="0" xfId="0" applyFont="1"/>
    <xf numFmtId="0" fontId="0" fillId="0" borderId="0" xfId="0" applyBorder="1" applyAlignment="1">
      <alignment horizontal="left"/>
    </xf>
    <xf numFmtId="2" fontId="0" fillId="0" borderId="0" xfId="0" applyNumberFormat="1" applyBorder="1" applyAlignment="1">
      <alignment horizontal="center"/>
    </xf>
    <xf numFmtId="0" fontId="0" fillId="0" borderId="5" xfId="0" applyBorder="1"/>
    <xf numFmtId="0" fontId="0" fillId="0" borderId="6" xfId="0" applyBorder="1"/>
    <xf numFmtId="0" fontId="0" fillId="6" borderId="2" xfId="0" applyFill="1" applyBorder="1" applyAlignment="1">
      <alignment horizontal="center"/>
    </xf>
    <xf numFmtId="0" fontId="0" fillId="6" borderId="3" xfId="0" applyFill="1" applyBorder="1" applyAlignment="1">
      <alignment horizontal="center"/>
    </xf>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2" fillId="0" borderId="8" xfId="0" applyFont="1" applyBorder="1" applyAlignment="1">
      <alignment horizontal="center"/>
    </xf>
    <xf numFmtId="0" fontId="2" fillId="0" borderId="8" xfId="0" applyFont="1" applyBorder="1"/>
    <xf numFmtId="2" fontId="0" fillId="0" borderId="5" xfId="0" applyNumberFormat="1" applyBorder="1" applyAlignment="1">
      <alignment horizontal="center"/>
    </xf>
    <xf numFmtId="2" fontId="0" fillId="0" borderId="6" xfId="0" applyNumberFormat="1" applyBorder="1" applyAlignment="1">
      <alignment horizontal="center"/>
    </xf>
    <xf numFmtId="0" fontId="0" fillId="0" borderId="0" xfId="0" applyFill="1" applyBorder="1" applyAlignment="1">
      <alignment horizontal="left"/>
    </xf>
    <xf numFmtId="0" fontId="2" fillId="0" borderId="0" xfId="0" applyFont="1" applyFill="1" applyBorder="1"/>
    <xf numFmtId="0" fontId="3" fillId="0" borderId="0" xfId="0" applyFont="1" applyFill="1" applyBorder="1" applyAlignment="1">
      <alignment horizontal="center"/>
    </xf>
    <xf numFmtId="0" fontId="1" fillId="0" borderId="8" xfId="0" applyFont="1" applyFill="1" applyBorder="1" applyAlignment="1">
      <alignment horizontal="center"/>
    </xf>
    <xf numFmtId="0" fontId="0" fillId="0" borderId="0" xfId="0" applyAlignment="1">
      <alignment wrapText="1"/>
    </xf>
    <xf numFmtId="0" fontId="2" fillId="0" borderId="0" xfId="0" applyFont="1" applyAlignment="1">
      <alignment wrapText="1"/>
    </xf>
    <xf numFmtId="0" fontId="0" fillId="6" borderId="13" xfId="0" applyFill="1" applyBorder="1" applyAlignment="1">
      <alignment horizontal="center"/>
    </xf>
    <xf numFmtId="164" fontId="0" fillId="6" borderId="14" xfId="0" applyNumberFormat="1" applyFill="1" applyBorder="1" applyAlignment="1">
      <alignment horizontal="center"/>
    </xf>
    <xf numFmtId="0" fontId="0" fillId="6" borderId="1" xfId="0" applyFill="1" applyBorder="1" applyAlignment="1">
      <alignment horizontal="center"/>
    </xf>
    <xf numFmtId="0" fontId="0" fillId="6" borderId="15" xfId="0" applyFill="1" applyBorder="1" applyAlignment="1">
      <alignment horizontal="center"/>
    </xf>
    <xf numFmtId="164" fontId="0" fillId="0" borderId="0" xfId="0" applyNumberFormat="1" applyFill="1" applyBorder="1" applyAlignment="1">
      <alignment horizontal="center"/>
    </xf>
    <xf numFmtId="0" fontId="0" fillId="0" borderId="17" xfId="0" applyFill="1" applyBorder="1" applyAlignment="1"/>
    <xf numFmtId="0" fontId="0" fillId="0" borderId="17" xfId="0" applyFill="1" applyBorder="1"/>
    <xf numFmtId="164" fontId="0" fillId="0" borderId="0" xfId="0" applyNumberFormat="1" applyFill="1" applyBorder="1" applyAlignment="1"/>
    <xf numFmtId="164" fontId="0" fillId="0" borderId="17" xfId="0" applyNumberFormat="1" applyFill="1" applyBorder="1" applyAlignment="1"/>
    <xf numFmtId="0" fontId="0" fillId="7" borderId="1" xfId="0" applyFill="1" applyBorder="1" applyAlignment="1">
      <alignment horizontal="center"/>
    </xf>
    <xf numFmtId="20" fontId="0" fillId="7" borderId="1" xfId="0" quotePrefix="1" applyNumberFormat="1" applyFill="1" applyBorder="1" applyAlignment="1">
      <alignment horizontal="center"/>
    </xf>
    <xf numFmtId="0" fontId="0" fillId="7" borderId="1" xfId="0" quotePrefix="1" applyFill="1" applyBorder="1" applyAlignment="1">
      <alignment horizontal="center"/>
    </xf>
    <xf numFmtId="0" fontId="6" fillId="8" borderId="1" xfId="0" applyFont="1" applyFill="1" applyBorder="1" applyAlignment="1">
      <alignment horizontal="center"/>
    </xf>
    <xf numFmtId="0" fontId="0" fillId="0" borderId="10" xfId="0" applyBorder="1" applyAlignment="1" applyProtection="1">
      <alignment horizontal="center"/>
    </xf>
    <xf numFmtId="0" fontId="1" fillId="0" borderId="9" xfId="0" applyFont="1" applyFill="1" applyBorder="1" applyAlignment="1">
      <alignment horizontal="center"/>
    </xf>
    <xf numFmtId="0" fontId="1" fillId="0" borderId="22" xfId="0" applyFont="1" applyFill="1" applyBorder="1" applyAlignment="1" applyProtection="1">
      <alignment horizontal="center"/>
    </xf>
    <xf numFmtId="0" fontId="1" fillId="0" borderId="11" xfId="0" applyFont="1" applyFill="1" applyBorder="1"/>
    <xf numFmtId="0" fontId="1" fillId="0" borderId="12" xfId="0" applyFont="1" applyFill="1" applyBorder="1" applyAlignment="1">
      <alignment horizontal="right"/>
    </xf>
    <xf numFmtId="0" fontId="5" fillId="0" borderId="5" xfId="0" applyFont="1" applyFill="1" applyBorder="1"/>
    <xf numFmtId="0" fontId="5" fillId="0" borderId="6" xfId="0" applyFont="1" applyFill="1" applyBorder="1"/>
    <xf numFmtId="0" fontId="8" fillId="0" borderId="8" xfId="0" applyFont="1" applyFill="1" applyBorder="1"/>
    <xf numFmtId="0" fontId="0" fillId="0" borderId="0" xfId="0" applyFont="1" applyFill="1" applyBorder="1"/>
    <xf numFmtId="2" fontId="0" fillId="0" borderId="0" xfId="0" applyNumberFormat="1" applyFont="1" applyFill="1" applyBorder="1" applyAlignment="1">
      <alignment horizontal="center"/>
    </xf>
    <xf numFmtId="0" fontId="0" fillId="0" borderId="9" xfId="0" applyFont="1" applyFill="1" applyBorder="1"/>
    <xf numFmtId="2" fontId="0" fillId="0" borderId="10" xfId="0" applyNumberFormat="1" applyFont="1" applyFill="1" applyBorder="1" applyAlignment="1">
      <alignment horizontal="center"/>
    </xf>
    <xf numFmtId="0" fontId="0" fillId="0" borderId="11" xfId="0" applyFont="1" applyFill="1" applyBorder="1" applyAlignment="1">
      <alignment horizontal="center" vertical="center"/>
    </xf>
    <xf numFmtId="0" fontId="0" fillId="0" borderId="7" xfId="0" applyFont="1" applyFill="1" applyBorder="1"/>
    <xf numFmtId="2" fontId="0" fillId="0" borderId="7" xfId="0" applyNumberFormat="1" applyFont="1" applyFill="1" applyBorder="1" applyAlignment="1">
      <alignment horizontal="center"/>
    </xf>
    <xf numFmtId="2" fontId="0" fillId="0" borderId="12" xfId="0" applyNumberFormat="1" applyFont="1" applyFill="1" applyBorder="1" applyAlignment="1">
      <alignment horizontal="center"/>
    </xf>
    <xf numFmtId="0" fontId="0" fillId="12" borderId="18" xfId="0" applyFill="1" applyBorder="1" applyAlignment="1">
      <alignment horizontal="center"/>
    </xf>
    <xf numFmtId="0" fontId="0" fillId="12" borderId="19" xfId="0" applyFill="1" applyBorder="1" applyAlignment="1" applyProtection="1">
      <alignment horizontal="center"/>
    </xf>
    <xf numFmtId="0" fontId="0" fillId="0" borderId="9" xfId="0" applyFont="1" applyFill="1" applyBorder="1" applyAlignment="1" applyProtection="1">
      <alignment horizontal="center"/>
    </xf>
    <xf numFmtId="0" fontId="0" fillId="0" borderId="11" xfId="0" applyFont="1" applyFill="1" applyBorder="1" applyAlignment="1" applyProtection="1">
      <alignment horizontal="center"/>
    </xf>
    <xf numFmtId="0" fontId="0" fillId="0" borderId="8" xfId="0" applyBorder="1"/>
    <xf numFmtId="0" fontId="0" fillId="0" borderId="0" xfId="0" applyAlignment="1">
      <alignment vertical="top" wrapText="1"/>
    </xf>
    <xf numFmtId="0" fontId="0" fillId="4" borderId="1" xfId="0" applyFill="1" applyBorder="1" applyAlignment="1">
      <alignment horizontal="center"/>
    </xf>
    <xf numFmtId="0" fontId="0" fillId="5" borderId="1" xfId="0" applyFill="1" applyBorder="1" applyAlignment="1">
      <alignment horizontal="center"/>
    </xf>
    <xf numFmtId="0" fontId="9" fillId="2" borderId="1" xfId="0" applyFont="1" applyFill="1" applyBorder="1" applyAlignment="1">
      <alignment horizontal="center"/>
    </xf>
    <xf numFmtId="0" fontId="9" fillId="6" borderId="13" xfId="0" applyFont="1" applyFill="1" applyBorder="1" applyAlignment="1">
      <alignment horizontal="center"/>
    </xf>
    <xf numFmtId="0" fontId="9" fillId="0" borderId="3" xfId="0" applyFont="1" applyFill="1" applyBorder="1"/>
    <xf numFmtId="0" fontId="9" fillId="0" borderId="20" xfId="0" applyFont="1" applyFill="1" applyBorder="1"/>
    <xf numFmtId="0" fontId="9" fillId="3" borderId="2" xfId="0" applyFont="1" applyFill="1" applyBorder="1" applyAlignment="1">
      <alignment horizontal="center" wrapText="1"/>
    </xf>
    <xf numFmtId="0" fontId="0" fillId="0" borderId="17" xfId="0" applyBorder="1" applyAlignment="1"/>
    <xf numFmtId="0" fontId="2" fillId="7" borderId="1" xfId="0" applyFont="1" applyFill="1" applyBorder="1" applyAlignment="1">
      <alignment horizontal="center"/>
    </xf>
    <xf numFmtId="20" fontId="2" fillId="7" borderId="1" xfId="0" quotePrefix="1" applyNumberFormat="1" applyFont="1" applyFill="1" applyBorder="1" applyAlignment="1">
      <alignment horizontal="center"/>
    </xf>
    <xf numFmtId="0" fontId="2" fillId="7" borderId="1" xfId="0" quotePrefix="1" applyNumberFormat="1" applyFont="1" applyFill="1" applyBorder="1" applyAlignment="1">
      <alignment horizontal="center"/>
    </xf>
    <xf numFmtId="0" fontId="2" fillId="4" borderId="1" xfId="0" applyFont="1" applyFill="1" applyBorder="1" applyAlignment="1">
      <alignment horizontal="center"/>
    </xf>
    <xf numFmtId="20" fontId="2" fillId="4" borderId="1" xfId="0" quotePrefix="1" applyNumberFormat="1" applyFont="1" applyFill="1" applyBorder="1" applyAlignment="1">
      <alignment horizontal="center"/>
    </xf>
    <xf numFmtId="0" fontId="2" fillId="4" borderId="1" xfId="0" quotePrefix="1" applyNumberFormat="1" applyFont="1" applyFill="1" applyBorder="1" applyAlignment="1">
      <alignment horizontal="center"/>
    </xf>
    <xf numFmtId="0" fontId="0" fillId="0" borderId="20" xfId="0" applyFill="1" applyBorder="1" applyAlignment="1"/>
    <xf numFmtId="0" fontId="2" fillId="0" borderId="2" xfId="0" applyFont="1" applyBorder="1"/>
    <xf numFmtId="0" fontId="0" fillId="9" borderId="10" xfId="0" applyFill="1" applyBorder="1" applyAlignment="1" applyProtection="1">
      <alignment horizontal="center"/>
      <protection locked="0"/>
    </xf>
    <xf numFmtId="0" fontId="0" fillId="9" borderId="12" xfId="0" applyFill="1" applyBorder="1" applyAlignment="1" applyProtection="1">
      <alignment horizontal="center"/>
      <protection locked="0"/>
    </xf>
    <xf numFmtId="0" fontId="1" fillId="9" borderId="6" xfId="0" applyFont="1" applyFill="1" applyBorder="1" applyAlignment="1" applyProtection="1">
      <alignment horizontal="center"/>
      <protection locked="0"/>
    </xf>
    <xf numFmtId="0" fontId="7" fillId="0" borderId="22" xfId="0" applyNumberFormat="1" applyFont="1" applyFill="1" applyBorder="1" applyAlignment="1" applyProtection="1">
      <alignment horizontal="center"/>
      <protection locked="0"/>
    </xf>
    <xf numFmtId="0" fontId="0" fillId="0" borderId="0" xfId="0" applyBorder="1" applyAlignment="1">
      <alignment horizontal="center"/>
    </xf>
    <xf numFmtId="0" fontId="7" fillId="0" borderId="10" xfId="0" applyFont="1" applyFill="1" applyBorder="1" applyAlignment="1" applyProtection="1">
      <alignment horizontal="center"/>
      <protection locked="0"/>
    </xf>
    <xf numFmtId="0" fontId="0" fillId="9" borderId="6" xfId="0" applyFill="1" applyBorder="1" applyAlignment="1" applyProtection="1">
      <alignment horizontal="center"/>
      <protection locked="0"/>
    </xf>
    <xf numFmtId="0" fontId="0" fillId="0" borderId="10" xfId="0" applyFont="1" applyFill="1" applyBorder="1" applyAlignment="1" applyProtection="1">
      <alignment horizontal="center"/>
    </xf>
    <xf numFmtId="0" fontId="0" fillId="0" borderId="12" xfId="0" applyFont="1" applyFill="1" applyBorder="1" applyAlignment="1" applyProtection="1">
      <alignment horizontal="center"/>
    </xf>
    <xf numFmtId="0" fontId="0" fillId="0" borderId="5" xfId="0" applyBorder="1" applyAlignment="1">
      <alignment horizontal="center"/>
    </xf>
    <xf numFmtId="0" fontId="0" fillId="0" borderId="11" xfId="0" applyFont="1" applyBorder="1" applyAlignment="1">
      <alignment horizontal="center"/>
    </xf>
    <xf numFmtId="0" fontId="7" fillId="0" borderId="12" xfId="0" applyFont="1" applyFill="1" applyBorder="1" applyAlignment="1" applyProtection="1">
      <alignment horizontal="center"/>
      <protection locked="0"/>
    </xf>
    <xf numFmtId="0" fontId="0" fillId="0" borderId="7" xfId="0" applyBorder="1" applyAlignment="1">
      <alignment horizontal="center"/>
    </xf>
    <xf numFmtId="0" fontId="10" fillId="9" borderId="12" xfId="0" applyFont="1" applyFill="1" applyBorder="1" applyAlignment="1" applyProtection="1">
      <alignment horizontal="center"/>
      <protection locked="0"/>
    </xf>
    <xf numFmtId="2" fontId="12" fillId="10" borderId="30" xfId="0" applyNumberFormat="1" applyFont="1" applyFill="1" applyBorder="1" applyAlignment="1">
      <alignment horizontal="center"/>
    </xf>
    <xf numFmtId="2" fontId="12" fillId="11" borderId="33" xfId="0" applyNumberFormat="1" applyFont="1" applyFill="1" applyBorder="1" applyAlignment="1">
      <alignment horizontal="center"/>
    </xf>
    <xf numFmtId="0" fontId="11" fillId="13" borderId="29" xfId="0" applyFont="1" applyFill="1" applyBorder="1" applyAlignment="1">
      <alignment horizontal="center"/>
    </xf>
    <xf numFmtId="0" fontId="12" fillId="13" borderId="29" xfId="0" applyFont="1" applyFill="1" applyBorder="1" applyAlignment="1">
      <alignment horizontal="center"/>
    </xf>
    <xf numFmtId="0" fontId="12" fillId="13" borderId="0" xfId="0" applyFont="1" applyFill="1" applyBorder="1"/>
    <xf numFmtId="0" fontId="12" fillId="13" borderId="31" xfId="0" applyFont="1" applyFill="1" applyBorder="1" applyAlignment="1">
      <alignment horizontal="center"/>
    </xf>
    <xf numFmtId="0" fontId="12" fillId="13" borderId="32" xfId="0" applyFont="1" applyFill="1" applyBorder="1" applyAlignment="1">
      <alignment horizontal="center"/>
    </xf>
    <xf numFmtId="0" fontId="12" fillId="13" borderId="32" xfId="0" applyFont="1" applyFill="1" applyBorder="1"/>
    <xf numFmtId="0" fontId="13" fillId="13" borderId="29" xfId="0" applyFont="1" applyFill="1" applyBorder="1" applyAlignment="1" applyProtection="1">
      <alignment horizontal="center"/>
    </xf>
    <xf numFmtId="0" fontId="12" fillId="13" borderId="0" xfId="0" applyFont="1" applyFill="1" applyBorder="1" applyAlignment="1">
      <alignment horizontal="center"/>
    </xf>
    <xf numFmtId="0" fontId="12" fillId="13" borderId="30" xfId="0" applyFont="1" applyFill="1" applyBorder="1" applyAlignment="1">
      <alignment horizontal="center"/>
    </xf>
    <xf numFmtId="0" fontId="11" fillId="13" borderId="0" xfId="0" applyFont="1" applyFill="1" applyBorder="1" applyAlignment="1">
      <alignment horizontal="center"/>
    </xf>
    <xf numFmtId="0" fontId="11" fillId="13" borderId="30" xfId="0" applyFont="1" applyFill="1" applyBorder="1" applyAlignment="1">
      <alignment horizontal="center"/>
    </xf>
    <xf numFmtId="0" fontId="0" fillId="2"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2" fillId="2" borderId="1" xfId="0" applyFont="1" applyFill="1" applyBorder="1" applyAlignment="1">
      <alignment horizontal="center"/>
    </xf>
    <xf numFmtId="0" fontId="12" fillId="13" borderId="0" xfId="0" applyFont="1" applyFill="1" applyBorder="1" applyAlignment="1">
      <alignment horizontal="center"/>
    </xf>
    <xf numFmtId="0" fontId="12" fillId="13" borderId="30" xfId="0" applyFont="1" applyFill="1" applyBorder="1" applyAlignment="1">
      <alignment horizontal="center"/>
    </xf>
    <xf numFmtId="0" fontId="11" fillId="13" borderId="0" xfId="0" applyFont="1" applyFill="1" applyBorder="1" applyAlignment="1">
      <alignment horizontal="center"/>
    </xf>
    <xf numFmtId="0" fontId="11" fillId="13" borderId="30" xfId="0" applyFont="1" applyFill="1" applyBorder="1" applyAlignment="1">
      <alignment horizontal="center"/>
    </xf>
    <xf numFmtId="0" fontId="0" fillId="5" borderId="1" xfId="0" applyFill="1" applyBorder="1" applyAlignment="1">
      <alignment horizontal="center"/>
    </xf>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16" fillId="0" borderId="0" xfId="0" applyFont="1" applyAlignment="1">
      <alignment vertical="top"/>
    </xf>
    <xf numFmtId="0" fontId="16" fillId="0" borderId="0" xfId="0" applyFont="1" applyAlignment="1">
      <alignment vertical="top" wrapText="1"/>
    </xf>
    <xf numFmtId="0" fontId="11" fillId="0" borderId="0" xfId="0" applyFont="1" applyAlignment="1">
      <alignment vertical="top"/>
    </xf>
    <xf numFmtId="0" fontId="21" fillId="0" borderId="0" xfId="0" applyFont="1" applyAlignment="1"/>
    <xf numFmtId="0" fontId="16" fillId="0" borderId="0" xfId="0" applyFont="1" applyAlignment="1">
      <alignment horizontal="left" vertical="top"/>
    </xf>
    <xf numFmtId="0" fontId="16" fillId="0" borderId="0" xfId="0" applyFont="1" applyAlignment="1">
      <alignment horizontal="left" vertical="top" wrapText="1"/>
    </xf>
    <xf numFmtId="0" fontId="0" fillId="14" borderId="2" xfId="0" applyFill="1" applyBorder="1" applyAlignment="1">
      <alignment horizontal="center" wrapText="1"/>
    </xf>
    <xf numFmtId="0" fontId="9" fillId="5" borderId="1" xfId="0" applyFont="1" applyFill="1" applyBorder="1" applyAlignment="1">
      <alignment horizontal="center"/>
    </xf>
    <xf numFmtId="164" fontId="9" fillId="6" borderId="14" xfId="0" applyNumberFormat="1" applyFont="1" applyFill="1" applyBorder="1" applyAlignment="1">
      <alignment horizontal="center"/>
    </xf>
    <xf numFmtId="0" fontId="9" fillId="6" borderId="1" xfId="0" applyFont="1" applyFill="1" applyBorder="1" applyAlignment="1">
      <alignment horizontal="center"/>
    </xf>
    <xf numFmtId="165" fontId="0" fillId="0" borderId="4" xfId="0" applyNumberFormat="1" applyBorder="1" applyAlignment="1">
      <alignment horizontal="center"/>
    </xf>
    <xf numFmtId="165" fontId="0" fillId="0" borderId="7" xfId="0" applyNumberFormat="1" applyBorder="1" applyAlignment="1">
      <alignment horizontal="center"/>
    </xf>
    <xf numFmtId="0" fontId="0" fillId="0" borderId="4" xfId="0" applyFont="1" applyFill="1" applyBorder="1"/>
    <xf numFmtId="2" fontId="0" fillId="0" borderId="4" xfId="0" applyNumberFormat="1" applyFont="1" applyFill="1" applyBorder="1" applyAlignment="1">
      <alignment horizontal="center"/>
    </xf>
    <xf numFmtId="164" fontId="0" fillId="11" borderId="7" xfId="0" applyNumberFormat="1" applyFont="1" applyFill="1" applyBorder="1" applyAlignment="1">
      <alignment horizontal="center"/>
    </xf>
    <xf numFmtId="0" fontId="22" fillId="0" borderId="0" xfId="0" applyFont="1" applyBorder="1" applyAlignment="1">
      <alignment horizontal="left"/>
    </xf>
    <xf numFmtId="0" fontId="12" fillId="15" borderId="0" xfId="0" applyFont="1" applyFill="1" applyBorder="1" applyAlignment="1" applyProtection="1">
      <alignment horizontal="center"/>
    </xf>
    <xf numFmtId="0" fontId="0" fillId="0" borderId="9" xfId="0" applyFill="1" applyBorder="1" applyAlignment="1">
      <alignment horizontal="center"/>
    </xf>
    <xf numFmtId="0" fontId="0" fillId="16" borderId="8" xfId="0" applyFill="1" applyBorder="1" applyAlignment="1">
      <alignment horizontal="center"/>
    </xf>
    <xf numFmtId="0" fontId="0" fillId="16" borderId="9" xfId="0" applyFill="1" applyBorder="1" applyAlignment="1">
      <alignment horizontal="center"/>
    </xf>
    <xf numFmtId="0" fontId="0" fillId="16" borderId="11" xfId="0" applyFill="1" applyBorder="1" applyAlignment="1">
      <alignment horizontal="center"/>
    </xf>
    <xf numFmtId="0" fontId="0" fillId="16" borderId="34" xfId="0" applyFill="1" applyBorder="1" applyAlignment="1">
      <alignment horizontal="center"/>
    </xf>
    <xf numFmtId="0" fontId="0" fillId="0" borderId="35" xfId="0" applyBorder="1" applyAlignment="1" applyProtection="1">
      <alignment horizontal="center"/>
    </xf>
    <xf numFmtId="0" fontId="11" fillId="0" borderId="0" xfId="0" applyFont="1"/>
    <xf numFmtId="0" fontId="20" fillId="16" borderId="0" xfId="0" applyFont="1" applyFill="1" applyBorder="1" applyAlignment="1">
      <alignment horizontal="left"/>
    </xf>
    <xf numFmtId="0" fontId="0" fillId="12" borderId="11" xfId="0" applyFill="1" applyBorder="1" applyAlignment="1">
      <alignment horizontal="center"/>
    </xf>
    <xf numFmtId="0" fontId="0" fillId="12" borderId="12" xfId="0" applyFill="1" applyBorder="1" applyAlignment="1" applyProtection="1">
      <alignment horizontal="center"/>
    </xf>
    <xf numFmtId="0" fontId="14" fillId="0" borderId="0" xfId="1" applyAlignment="1" applyProtection="1"/>
    <xf numFmtId="0" fontId="14" fillId="0" borderId="0" xfId="1" applyAlignment="1" applyProtection="1">
      <alignment horizontal="center"/>
    </xf>
    <xf numFmtId="0" fontId="0" fillId="4" borderId="1" xfId="0" applyFont="1" applyFill="1" applyBorder="1" applyAlignment="1">
      <alignment horizontal="center"/>
    </xf>
    <xf numFmtId="20" fontId="0" fillId="4" borderId="1" xfId="0" quotePrefix="1" applyNumberFormat="1" applyFont="1" applyFill="1" applyBorder="1" applyAlignment="1">
      <alignment horizontal="center"/>
    </xf>
    <xf numFmtId="0" fontId="15" fillId="0" borderId="0" xfId="1" applyFont="1" applyAlignment="1" applyProtection="1">
      <alignment horizontal="center"/>
    </xf>
    <xf numFmtId="0" fontId="2" fillId="0" borderId="0" xfId="0" applyFont="1" applyAlignment="1">
      <alignment vertical="top"/>
    </xf>
    <xf numFmtId="0" fontId="11" fillId="0" borderId="0" xfId="0" applyFont="1" applyFill="1" applyBorder="1" applyAlignment="1"/>
    <xf numFmtId="0" fontId="0" fillId="0" borderId="8" xfId="0" applyBorder="1" applyAlignment="1">
      <alignment horizontal="center"/>
    </xf>
    <xf numFmtId="0" fontId="26" fillId="0" borderId="9" xfId="0" applyFont="1" applyBorder="1" applyAlignment="1">
      <alignment horizontal="center" vertical="top" wrapText="1"/>
    </xf>
    <xf numFmtId="0" fontId="26" fillId="0" borderId="0" xfId="0" applyFont="1" applyBorder="1" applyAlignment="1">
      <alignment horizontal="center" vertical="top" wrapText="1"/>
    </xf>
    <xf numFmtId="2" fontId="23" fillId="0" borderId="9" xfId="0" applyNumberFormat="1" applyFont="1" applyBorder="1" applyAlignment="1">
      <alignment horizontal="center" wrapText="1"/>
    </xf>
    <xf numFmtId="0" fontId="0" fillId="0" borderId="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2" fontId="0" fillId="0" borderId="0" xfId="0" applyNumberFormat="1" applyBorder="1" applyAlignment="1">
      <alignment horizontal="center" vertical="center"/>
    </xf>
    <xf numFmtId="2" fontId="0" fillId="0" borderId="7" xfId="0" applyNumberFormat="1" applyBorder="1" applyAlignment="1">
      <alignment horizontal="center" vertical="center"/>
    </xf>
    <xf numFmtId="0" fontId="0" fillId="12" borderId="23" xfId="0" applyFill="1" applyBorder="1" applyAlignment="1">
      <alignment horizontal="center" wrapText="1"/>
    </xf>
    <xf numFmtId="0" fontId="0" fillId="12" borderId="24" xfId="0" applyFill="1" applyBorder="1" applyAlignment="1">
      <alignment horizontal="center" wrapText="1"/>
    </xf>
    <xf numFmtId="0" fontId="11" fillId="13" borderId="26" xfId="0" applyFont="1" applyFill="1" applyBorder="1" applyAlignment="1">
      <alignment horizontal="center"/>
    </xf>
    <xf numFmtId="0" fontId="11" fillId="13" borderId="27" xfId="0" applyFont="1" applyFill="1" applyBorder="1" applyAlignment="1">
      <alignment horizontal="center"/>
    </xf>
    <xf numFmtId="0" fontId="11" fillId="13" borderId="28" xfId="0" applyFont="1" applyFill="1" applyBorder="1" applyAlignment="1">
      <alignment horizontal="center"/>
    </xf>
    <xf numFmtId="0" fontId="0" fillId="0" borderId="9" xfId="0" applyFont="1" applyFill="1" applyBorder="1" applyAlignment="1">
      <alignment horizontal="center" vertical="center"/>
    </xf>
    <xf numFmtId="2" fontId="0" fillId="0" borderId="0" xfId="0" applyNumberFormat="1" applyFont="1" applyFill="1" applyBorder="1" applyAlignment="1">
      <alignment horizontal="center" vertical="center"/>
    </xf>
    <xf numFmtId="164" fontId="0" fillId="11" borderId="10" xfId="0" applyNumberFormat="1" applyFont="1" applyFill="1" applyBorder="1" applyAlignment="1">
      <alignment horizontal="center" vertical="center"/>
    </xf>
    <xf numFmtId="164" fontId="0" fillId="10" borderId="10" xfId="0" applyNumberFormat="1" applyFont="1" applyFill="1" applyBorder="1" applyAlignment="1">
      <alignment horizontal="center" vertical="center"/>
    </xf>
    <xf numFmtId="164" fontId="0" fillId="10" borderId="12" xfId="0" applyNumberFormat="1" applyFont="1" applyFill="1" applyBorder="1" applyAlignment="1">
      <alignment horizontal="center" vertical="center"/>
    </xf>
    <xf numFmtId="0" fontId="16" fillId="13" borderId="29" xfId="0" applyFont="1" applyFill="1" applyBorder="1" applyAlignment="1">
      <alignment horizontal="center" vertical="center" wrapText="1"/>
    </xf>
    <xf numFmtId="0" fontId="16" fillId="13" borderId="0" xfId="0" applyFont="1" applyFill="1" applyBorder="1" applyAlignment="1">
      <alignment horizontal="center" vertical="center" wrapText="1"/>
    </xf>
    <xf numFmtId="0" fontId="16" fillId="13" borderId="30" xfId="0" applyFont="1" applyFill="1" applyBorder="1" applyAlignment="1">
      <alignment horizontal="center" vertical="center" wrapText="1"/>
    </xf>
    <xf numFmtId="0" fontId="16" fillId="13" borderId="31" xfId="0" applyFont="1" applyFill="1" applyBorder="1" applyAlignment="1">
      <alignment horizontal="center" vertical="center" wrapText="1"/>
    </xf>
    <xf numFmtId="0" fontId="16" fillId="13" borderId="32" xfId="0" applyFont="1" applyFill="1" applyBorder="1" applyAlignment="1">
      <alignment horizontal="center" vertical="center" wrapText="1"/>
    </xf>
    <xf numFmtId="0" fontId="16" fillId="13" borderId="33" xfId="0" applyFont="1" applyFill="1" applyBorder="1" applyAlignment="1">
      <alignment horizontal="center" vertical="center" wrapText="1"/>
    </xf>
    <xf numFmtId="0" fontId="24" fillId="0" borderId="9" xfId="0" applyFont="1" applyBorder="1" applyAlignment="1">
      <alignment horizontal="center"/>
    </xf>
    <xf numFmtId="0" fontId="24" fillId="0" borderId="0" xfId="0" applyFont="1" applyBorder="1" applyAlignment="1">
      <alignment horizontal="center"/>
    </xf>
    <xf numFmtId="0" fontId="0" fillId="5" borderId="14" xfId="0" applyFill="1" applyBorder="1" applyAlignment="1">
      <alignment horizontal="center"/>
    </xf>
    <xf numFmtId="0" fontId="0" fillId="5" borderId="16" xfId="0" applyFill="1" applyBorder="1" applyAlignment="1">
      <alignment horizontal="center"/>
    </xf>
    <xf numFmtId="0" fontId="0" fillId="5" borderId="3" xfId="0" applyFill="1" applyBorder="1" applyAlignment="1">
      <alignment horizontal="center" wrapText="1"/>
    </xf>
    <xf numFmtId="0" fontId="0" fillId="0" borderId="2" xfId="0" applyBorder="1" applyAlignment="1">
      <alignment horizontal="center" wrapText="1"/>
    </xf>
    <xf numFmtId="0" fontId="2" fillId="5" borderId="14" xfId="0" applyFont="1" applyFill="1" applyBorder="1" applyAlignment="1">
      <alignment horizontal="center"/>
    </xf>
    <xf numFmtId="0" fontId="2" fillId="5" borderId="16" xfId="0" applyFont="1" applyFill="1" applyBorder="1" applyAlignment="1">
      <alignment horizontal="center"/>
    </xf>
    <xf numFmtId="0" fontId="0" fillId="7" borderId="3" xfId="0" applyFill="1" applyBorder="1" applyAlignment="1">
      <alignment horizontal="center" vertical="center"/>
    </xf>
    <xf numFmtId="0" fontId="0" fillId="7" borderId="20" xfId="0" applyFill="1" applyBorder="1" applyAlignment="1">
      <alignment horizontal="center" vertical="center"/>
    </xf>
    <xf numFmtId="0" fontId="0" fillId="7"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0" xfId="0" applyFill="1" applyBorder="1" applyAlignment="1">
      <alignment horizontal="center" vertical="center"/>
    </xf>
    <xf numFmtId="0" fontId="2" fillId="2" borderId="14" xfId="0" applyFont="1" applyFill="1" applyBorder="1" applyAlignment="1">
      <alignment horizontal="center"/>
    </xf>
    <xf numFmtId="0" fontId="2" fillId="2" borderId="16" xfId="0" applyFont="1" applyFill="1" applyBorder="1" applyAlignment="1">
      <alignment horizontal="center"/>
    </xf>
    <xf numFmtId="0" fontId="2" fillId="2" borderId="25" xfId="0" applyFont="1" applyFill="1" applyBorder="1" applyAlignment="1">
      <alignment horizontal="center"/>
    </xf>
    <xf numFmtId="0" fontId="0" fillId="2" borderId="1"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0" fillId="3" borderId="25" xfId="0" applyFill="1" applyBorder="1" applyAlignment="1">
      <alignment horizontal="center"/>
    </xf>
    <xf numFmtId="0" fontId="2" fillId="6" borderId="14" xfId="0" applyFont="1" applyFill="1" applyBorder="1" applyAlignment="1">
      <alignment horizontal="center"/>
    </xf>
    <xf numFmtId="0" fontId="2" fillId="6" borderId="25" xfId="0" applyFont="1" applyFill="1" applyBorder="1" applyAlignment="1">
      <alignment horizontal="center"/>
    </xf>
    <xf numFmtId="0" fontId="0" fillId="6" borderId="14" xfId="0" applyFill="1" applyBorder="1" applyAlignment="1">
      <alignment horizontal="center"/>
    </xf>
    <xf numFmtId="0" fontId="0" fillId="6" borderId="25"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25" xfId="0" applyFill="1" applyBorder="1" applyAlignment="1">
      <alignment horizontal="center"/>
    </xf>
    <xf numFmtId="0" fontId="0" fillId="2" borderId="3" xfId="0" applyFill="1" applyBorder="1" applyAlignment="1">
      <alignment horizontal="center" wrapText="1"/>
    </xf>
    <xf numFmtId="0" fontId="0" fillId="2" borderId="20" xfId="0" applyFill="1" applyBorder="1" applyAlignment="1">
      <alignment horizontal="center" wrapText="1"/>
    </xf>
    <xf numFmtId="0" fontId="2" fillId="3" borderId="14" xfId="0" applyFont="1" applyFill="1" applyBorder="1" applyAlignment="1">
      <alignment horizontal="center"/>
    </xf>
    <xf numFmtId="0" fontId="2" fillId="3" borderId="16" xfId="0" applyFont="1" applyFill="1" applyBorder="1" applyAlignment="1">
      <alignment horizontal="center"/>
    </xf>
    <xf numFmtId="0" fontId="2" fillId="3" borderId="25" xfId="0" applyFont="1" applyFill="1" applyBorder="1" applyAlignment="1">
      <alignment horizontal="center"/>
    </xf>
    <xf numFmtId="0" fontId="0" fillId="3" borderId="1" xfId="0" applyFill="1" applyBorder="1" applyAlignment="1">
      <alignment horizontal="center" wrapText="1"/>
    </xf>
    <xf numFmtId="0" fontId="0" fillId="3" borderId="3" xfId="0" applyFill="1" applyBorder="1" applyAlignment="1">
      <alignment horizontal="center" wrapText="1"/>
    </xf>
    <xf numFmtId="0" fontId="0" fillId="4" borderId="14" xfId="0" applyFill="1" applyBorder="1" applyAlignment="1">
      <alignment horizontal="center"/>
    </xf>
    <xf numFmtId="0" fontId="0" fillId="4" borderId="16" xfId="0" applyFill="1" applyBorder="1" applyAlignment="1">
      <alignment horizontal="center"/>
    </xf>
    <xf numFmtId="0" fontId="0" fillId="4" borderId="25" xfId="0" applyFill="1" applyBorder="1" applyAlignment="1">
      <alignment horizontal="center"/>
    </xf>
    <xf numFmtId="0" fontId="0" fillId="3" borderId="3" xfId="0" applyFill="1" applyBorder="1" applyAlignment="1">
      <alignment horizontal="center"/>
    </xf>
    <xf numFmtId="0" fontId="0" fillId="3" borderId="20" xfId="0" applyFill="1" applyBorder="1" applyAlignment="1">
      <alignment horizontal="center"/>
    </xf>
    <xf numFmtId="0" fontId="0" fillId="4" borderId="1" xfId="0" applyFill="1" applyBorder="1" applyAlignment="1">
      <alignment horizontal="center"/>
    </xf>
    <xf numFmtId="0" fontId="2" fillId="4" borderId="14" xfId="0" applyFont="1" applyFill="1" applyBorder="1" applyAlignment="1">
      <alignment horizontal="center"/>
    </xf>
    <xf numFmtId="0" fontId="2" fillId="4" borderId="16" xfId="0" applyFont="1" applyFill="1" applyBorder="1" applyAlignment="1">
      <alignment horizontal="center"/>
    </xf>
    <xf numFmtId="0" fontId="2" fillId="4" borderId="25" xfId="0" applyFont="1" applyFill="1" applyBorder="1" applyAlignment="1">
      <alignment horizontal="center"/>
    </xf>
    <xf numFmtId="0" fontId="0" fillId="6" borderId="16" xfId="0" applyFill="1" applyBorder="1" applyAlignment="1">
      <alignment horizontal="center"/>
    </xf>
    <xf numFmtId="0" fontId="2" fillId="6" borderId="16" xfId="0" applyFont="1" applyFill="1" applyBorder="1" applyAlignment="1">
      <alignment horizontal="center"/>
    </xf>
    <xf numFmtId="0" fontId="0" fillId="5" borderId="1" xfId="0" applyFill="1" applyBorder="1" applyAlignment="1">
      <alignment horizontal="center"/>
    </xf>
    <xf numFmtId="0" fontId="2" fillId="5" borderId="1" xfId="0" applyFont="1" applyFill="1" applyBorder="1" applyAlignment="1">
      <alignment horizontal="center"/>
    </xf>
    <xf numFmtId="0" fontId="26" fillId="0" borderId="0" xfId="0" applyFont="1"/>
    <xf numFmtId="0" fontId="22" fillId="0" borderId="0" xfId="0" applyFont="1" applyAlignment="1">
      <alignment wrapText="1"/>
    </xf>
  </cellXfs>
  <cellStyles count="2">
    <cellStyle name="Hyperlink" xfId="1" builtinId="8"/>
    <cellStyle name="Normal" xfId="0" builtinId="0"/>
  </cellStyles>
  <dxfs count="28">
    <dxf>
      <fill>
        <patternFill>
          <bgColor rgb="FFFFFF00"/>
        </patternFill>
      </fill>
    </dxf>
    <dxf>
      <fill>
        <patternFill>
          <bgColor rgb="FFFFFF00"/>
        </patternFill>
      </fill>
    </dxf>
    <dxf>
      <font>
        <color theme="1"/>
      </font>
      <fill>
        <patternFill>
          <bgColor theme="8" tint="0.79998168889431442"/>
        </patternFill>
      </fill>
    </dxf>
    <dxf>
      <font>
        <color theme="5" tint="0.59996337778862885"/>
      </font>
    </dxf>
    <dxf>
      <font>
        <color theme="1"/>
      </font>
      <fill>
        <patternFill>
          <bgColor rgb="FF92D050"/>
        </patternFill>
      </fill>
    </dxf>
    <dxf>
      <font>
        <color theme="1"/>
      </font>
      <fill>
        <patternFill>
          <bgColor rgb="FF92D050"/>
        </patternFill>
      </fill>
    </dxf>
    <dxf>
      <font>
        <color theme="1"/>
      </font>
    </dxf>
    <dxf>
      <font>
        <color theme="1"/>
      </font>
      <fill>
        <patternFill>
          <bgColor rgb="FF92D050"/>
        </patternFill>
      </fill>
    </dxf>
    <dxf>
      <font>
        <color theme="1"/>
      </font>
      <fill>
        <patternFill>
          <bgColor theme="8" tint="0.79998168889431442"/>
        </patternFill>
      </fill>
    </dxf>
    <dxf>
      <font>
        <color theme="1"/>
      </font>
      <fill>
        <patternFill>
          <bgColor rgb="FF92D050"/>
        </patternFill>
      </fill>
    </dxf>
    <dxf>
      <font>
        <color theme="1"/>
      </font>
    </dxf>
    <dxf>
      <font>
        <color theme="5" tint="0.59996337778862885"/>
      </font>
    </dxf>
    <dxf>
      <font>
        <color theme="1"/>
      </font>
      <fill>
        <patternFill>
          <bgColor rgb="FF92D050"/>
        </patternFill>
      </fill>
    </dxf>
    <dxf>
      <fill>
        <patternFill>
          <bgColor rgb="FFFFFF00"/>
        </patternFill>
      </fill>
    </dxf>
    <dxf>
      <fill>
        <patternFill>
          <bgColor rgb="FFFFFF00"/>
        </patternFill>
      </fill>
    </dxf>
    <dxf>
      <font>
        <color theme="1"/>
      </font>
      <fill>
        <patternFill>
          <bgColor rgb="FF92D050"/>
        </patternFill>
      </fill>
    </dxf>
    <dxf>
      <font>
        <color theme="1"/>
      </font>
    </dxf>
    <dxf>
      <font>
        <color theme="1"/>
      </font>
      <fill>
        <patternFill>
          <bgColor rgb="FF92D050"/>
        </patternFill>
      </fill>
    </dxf>
    <dxf>
      <font>
        <color theme="1"/>
      </font>
    </dxf>
    <dxf>
      <font>
        <color theme="1"/>
      </font>
    </dxf>
    <dxf>
      <font>
        <color theme="1"/>
      </font>
    </dxf>
    <dxf>
      <font>
        <color theme="1"/>
      </font>
      <fill>
        <patternFill>
          <bgColor theme="8" tint="0.79998168889431442"/>
        </patternFill>
      </fill>
    </dxf>
    <dxf>
      <font>
        <color theme="5" tint="0.59996337778862885"/>
      </font>
    </dxf>
    <dxf>
      <font>
        <color theme="1"/>
      </font>
      <fill>
        <patternFill>
          <bgColor rgb="FF92D050"/>
        </patternFill>
      </fill>
    </dxf>
    <dxf>
      <font>
        <color theme="1"/>
      </font>
      <fill>
        <patternFill>
          <bgColor rgb="FF92D050"/>
        </patternFill>
      </fill>
    </dxf>
    <dxf>
      <font>
        <color theme="1"/>
      </font>
      <fill>
        <patternFill>
          <bgColor theme="8" tint="0.79998168889431442"/>
        </patternFill>
      </fill>
    </dxf>
    <dxf>
      <font>
        <color theme="5" tint="0.59996337778862885"/>
      </font>
    </dxf>
    <dxf>
      <font>
        <color theme="1"/>
      </font>
      <fill>
        <patternFill>
          <bgColor rgb="FF92D050"/>
        </patternFill>
      </fill>
    </dxf>
  </dxfs>
  <tableStyles count="0" defaultTableStyle="TableStyleMedium9" defaultPivotStyle="PivotStyleLight16"/>
  <colors>
    <mruColors>
      <color rgb="FFFFFFCC"/>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119063</xdr:colOff>
      <xdr:row>1</xdr:row>
      <xdr:rowOff>119071</xdr:rowOff>
    </xdr:from>
    <xdr:to>
      <xdr:col>1</xdr:col>
      <xdr:colOff>5660231</xdr:colOff>
      <xdr:row>8</xdr:row>
      <xdr:rowOff>102402</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447146" y="277821"/>
          <a:ext cx="5541168" cy="2798498"/>
          <a:chOff x="8834438" y="1726406"/>
          <a:chExt cx="5541168" cy="2578894"/>
        </a:xfrm>
      </xdr:grpSpPr>
      <xdr:pic>
        <xdr:nvPicPr>
          <xdr:cNvPr id="2" name="Picture 5" descr="LON_Adjacent">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l="1299" t="2083" r="3896" b="3819"/>
          <a:stretch>
            <a:fillRect/>
          </a:stretch>
        </xdr:blipFill>
        <xdr:spPr bwMode="auto">
          <a:xfrm>
            <a:off x="8834438" y="1726406"/>
            <a:ext cx="5541168" cy="2578894"/>
          </a:xfrm>
          <a:prstGeom prst="rect">
            <a:avLst/>
          </a:prstGeom>
          <a:noFill/>
          <a:ln w="28575">
            <a:solidFill>
              <a:sysClr val="windowText" lastClr="000000"/>
            </a:solidFill>
            <a:miter lim="800000"/>
            <a:headEnd/>
            <a:tailEnd/>
          </a:ln>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2058102" y="3658590"/>
            <a:ext cx="1333635" cy="202148"/>
          </a:xfrm>
          <a:prstGeom prst="rect">
            <a:avLst/>
          </a:prstGeom>
          <a:solidFill>
            <a:srgbClr val="FFFF00"/>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tIns="27432" rtlCol="0" anchor="t">
            <a:noAutofit/>
          </a:bodyPr>
          <a:lstStyle/>
          <a:p>
            <a:r>
              <a:rPr lang="en-US" sz="1100" b="1"/>
              <a:t>Approaching Traffic</a:t>
            </a:r>
          </a:p>
        </xdr:txBody>
      </xdr:sp>
    </xdr:grpSp>
    <xdr:clientData/>
  </xdr:twoCellAnchor>
  <xdr:twoCellAnchor>
    <xdr:from>
      <xdr:col>1</xdr:col>
      <xdr:colOff>6072195</xdr:colOff>
      <xdr:row>1</xdr:row>
      <xdr:rowOff>97630</xdr:rowOff>
    </xdr:from>
    <xdr:to>
      <xdr:col>1</xdr:col>
      <xdr:colOff>11584788</xdr:colOff>
      <xdr:row>8</xdr:row>
      <xdr:rowOff>92867</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6400278" y="256380"/>
          <a:ext cx="5512593" cy="2810404"/>
          <a:chOff x="8834438" y="6777038"/>
          <a:chExt cx="5512593" cy="2828925"/>
        </a:xfrm>
      </xdr:grpSpPr>
      <xdr:pic>
        <xdr:nvPicPr>
          <xdr:cNvPr id="3" name="Picture 6" descr="LON_Opposit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34438" y="6777038"/>
            <a:ext cx="5512593" cy="2828925"/>
          </a:xfrm>
          <a:prstGeom prst="rect">
            <a:avLst/>
          </a:prstGeom>
          <a:noFill/>
          <a:ln w="9525">
            <a:solidFill>
              <a:sysClr val="windowText" lastClr="000000"/>
            </a:solidFill>
            <a:miter lim="800000"/>
            <a:headEnd/>
            <a:tailEnd/>
          </a:ln>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10833" y="9276485"/>
            <a:ext cx="1151601" cy="228600"/>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Opposing Traffic</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504825</xdr:colOff>
      <xdr:row>35</xdr:row>
      <xdr:rowOff>0</xdr:rowOff>
    </xdr:from>
    <xdr:to>
      <xdr:col>7</xdr:col>
      <xdr:colOff>146050</xdr:colOff>
      <xdr:row>51</xdr:row>
      <xdr:rowOff>2118</xdr:rowOff>
    </xdr:to>
    <xdr:pic>
      <xdr:nvPicPr>
        <xdr:cNvPr id="2" name="Picture 5" descr="LON_Adjacent">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l="1299" t="2083" r="3896" b="3819"/>
        <a:stretch>
          <a:fillRect/>
        </a:stretch>
      </xdr:blipFill>
      <xdr:spPr bwMode="auto">
        <a:xfrm>
          <a:off x="504825" y="5686425"/>
          <a:ext cx="5562600" cy="2581275"/>
        </a:xfrm>
        <a:prstGeom prst="rect">
          <a:avLst/>
        </a:prstGeom>
        <a:noFill/>
        <a:ln w="28575">
          <a:solidFill>
            <a:srgbClr val="000000"/>
          </a:solidFill>
          <a:miter lim="800000"/>
          <a:headEnd/>
          <a:tailEnd/>
        </a:ln>
      </xdr:spPr>
    </xdr:pic>
    <xdr:clientData/>
  </xdr:twoCellAnchor>
  <xdr:oneCellAnchor>
    <xdr:from>
      <xdr:col>3</xdr:col>
      <xdr:colOff>850106</xdr:colOff>
      <xdr:row>46</xdr:row>
      <xdr:rowOff>154781</xdr:rowOff>
    </xdr:from>
    <xdr:ext cx="1333635" cy="2264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743325" y="7727156"/>
          <a:ext cx="1333635" cy="226460"/>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Approaching Traffic</a:t>
          </a:r>
        </a:p>
      </xdr:txBody>
    </xdr:sp>
    <xdr:clientData/>
  </xdr:oneCellAnchor>
  <xdr:twoCellAnchor>
    <xdr:from>
      <xdr:col>8</xdr:col>
      <xdr:colOff>336839</xdr:colOff>
      <xdr:row>34</xdr:row>
      <xdr:rowOff>159111</xdr:rowOff>
    </xdr:from>
    <xdr:to>
      <xdr:col>14</xdr:col>
      <xdr:colOff>510886</xdr:colOff>
      <xdr:row>51</xdr:row>
      <xdr:rowOff>8659</xdr:rowOff>
    </xdr:to>
    <xdr:pic>
      <xdr:nvPicPr>
        <xdr:cNvPr id="3" name="Picture 6" descr="LON_Opposite">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2" cstate="print"/>
        <a:srcRect l="1240" t="2205" r="885" b="2411"/>
        <a:stretch/>
      </xdr:blipFill>
      <xdr:spPr bwMode="auto">
        <a:xfrm>
          <a:off x="6545407" y="5770202"/>
          <a:ext cx="5127047" cy="2646434"/>
        </a:xfrm>
        <a:prstGeom prst="rect">
          <a:avLst/>
        </a:prstGeom>
        <a:noFill/>
        <a:ln w="28575">
          <a:solidFill>
            <a:schemeClr val="tx1"/>
          </a:solidFill>
          <a:miter lim="800000"/>
          <a:headEnd/>
          <a:tailEnd/>
        </a:ln>
      </xdr:spPr>
    </xdr:pic>
    <xdr:clientData/>
  </xdr:twoCellAnchor>
  <xdr:twoCellAnchor>
    <xdr:from>
      <xdr:col>9</xdr:col>
      <xdr:colOff>27660</xdr:colOff>
      <xdr:row>48</xdr:row>
      <xdr:rowOff>92004</xdr:rowOff>
    </xdr:from>
    <xdr:to>
      <xdr:col>9</xdr:col>
      <xdr:colOff>1148796</xdr:colOff>
      <xdr:row>49</xdr:row>
      <xdr:rowOff>153917</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73933" y="8006413"/>
          <a:ext cx="1121136" cy="226436"/>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Opposing Traffic</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504825</xdr:colOff>
      <xdr:row>35</xdr:row>
      <xdr:rowOff>0</xdr:rowOff>
    </xdr:from>
    <xdr:to>
      <xdr:col>7</xdr:col>
      <xdr:colOff>93133</xdr:colOff>
      <xdr:row>51</xdr:row>
      <xdr:rowOff>2118</xdr:rowOff>
    </xdr:to>
    <xdr:pic>
      <xdr:nvPicPr>
        <xdr:cNvPr id="2" name="Picture 5" descr="LON_Adjacen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l="1299" t="2083" r="3896" b="3819"/>
        <a:stretch>
          <a:fillRect/>
        </a:stretch>
      </xdr:blipFill>
      <xdr:spPr bwMode="auto">
        <a:xfrm>
          <a:off x="247650" y="5705475"/>
          <a:ext cx="5562600" cy="2592918"/>
        </a:xfrm>
        <a:prstGeom prst="rect">
          <a:avLst/>
        </a:prstGeom>
        <a:noFill/>
        <a:ln w="28575">
          <a:solidFill>
            <a:srgbClr val="000000"/>
          </a:solidFill>
          <a:miter lim="800000"/>
          <a:headEnd/>
          <a:tailEnd/>
        </a:ln>
      </xdr:spPr>
    </xdr:pic>
    <xdr:clientData/>
  </xdr:twoCellAnchor>
  <xdr:oneCellAnchor>
    <xdr:from>
      <xdr:col>3</xdr:col>
      <xdr:colOff>850106</xdr:colOff>
      <xdr:row>46</xdr:row>
      <xdr:rowOff>154781</xdr:rowOff>
    </xdr:from>
    <xdr:ext cx="1333635" cy="2264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383756" y="7641431"/>
          <a:ext cx="1333635" cy="226460"/>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Approaching Traffic</a:t>
          </a:r>
        </a:p>
      </xdr:txBody>
    </xdr:sp>
    <xdr:clientData/>
  </xdr:oneCellAnchor>
  <xdr:twoCellAnchor>
    <xdr:from>
      <xdr:col>8</xdr:col>
      <xdr:colOff>346364</xdr:colOff>
      <xdr:row>35</xdr:row>
      <xdr:rowOff>11906</xdr:rowOff>
    </xdr:from>
    <xdr:to>
      <xdr:col>14</xdr:col>
      <xdr:colOff>510886</xdr:colOff>
      <xdr:row>51</xdr:row>
      <xdr:rowOff>25977</xdr:rowOff>
    </xdr:to>
    <xdr:pic>
      <xdr:nvPicPr>
        <xdr:cNvPr id="4" name="Picture 6" descr="LON_Opposite">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2" cstate="print"/>
        <a:srcRect l="1240" t="2205" r="885" b="2411"/>
        <a:stretch/>
      </xdr:blipFill>
      <xdr:spPr bwMode="auto">
        <a:xfrm>
          <a:off x="6556664" y="5717381"/>
          <a:ext cx="5393747" cy="2604871"/>
        </a:xfrm>
        <a:prstGeom prst="rect">
          <a:avLst/>
        </a:prstGeom>
        <a:noFill/>
        <a:ln w="28575">
          <a:solidFill>
            <a:schemeClr val="tx1"/>
          </a:solidFill>
          <a:miter lim="800000"/>
          <a:headEnd/>
          <a:tailEnd/>
        </a:ln>
      </xdr:spPr>
    </xdr:pic>
    <xdr:clientData/>
  </xdr:twoCellAnchor>
  <xdr:twoCellAnchor>
    <xdr:from>
      <xdr:col>8</xdr:col>
      <xdr:colOff>530754</xdr:colOff>
      <xdr:row>49</xdr:row>
      <xdr:rowOff>83343</xdr:rowOff>
    </xdr:from>
    <xdr:to>
      <xdr:col>9</xdr:col>
      <xdr:colOff>1114160</xdr:colOff>
      <xdr:row>50</xdr:row>
      <xdr:rowOff>145256</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6741054" y="8055768"/>
          <a:ext cx="1193006" cy="223838"/>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Opposing Traffic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B18"/>
  <sheetViews>
    <sheetView tabSelected="1" workbookViewId="0">
      <selection activeCell="A21" sqref="A21"/>
    </sheetView>
  </sheetViews>
  <sheetFormatPr defaultRowHeight="12.75" x14ac:dyDescent="0.2"/>
  <cols>
    <col min="1" max="1" width="101.42578125" style="42" customWidth="1"/>
  </cols>
  <sheetData>
    <row r="1" spans="1:2" x14ac:dyDescent="0.2">
      <c r="A1" s="244" t="s">
        <v>147</v>
      </c>
    </row>
    <row r="2" spans="1:2" x14ac:dyDescent="0.2">
      <c r="A2" s="22" t="s">
        <v>82</v>
      </c>
    </row>
    <row r="3" spans="1:2" x14ac:dyDescent="0.2">
      <c r="A3" s="42" t="s">
        <v>97</v>
      </c>
    </row>
    <row r="4" spans="1:2" ht="25.5" x14ac:dyDescent="0.2">
      <c r="A4" s="42" t="s">
        <v>128</v>
      </c>
      <c r="B4" s="161" t="s">
        <v>148</v>
      </c>
    </row>
    <row r="6" spans="1:2" x14ac:dyDescent="0.2">
      <c r="A6" s="43" t="s">
        <v>53</v>
      </c>
    </row>
    <row r="7" spans="1:2" ht="21" customHeight="1" x14ac:dyDescent="0.2">
      <c r="A7" s="78" t="s">
        <v>73</v>
      </c>
    </row>
    <row r="8" spans="1:2" ht="21" customHeight="1" x14ac:dyDescent="0.2">
      <c r="A8" s="78" t="s">
        <v>74</v>
      </c>
    </row>
    <row r="9" spans="1:2" ht="30" customHeight="1" x14ac:dyDescent="0.2">
      <c r="A9" s="78" t="s">
        <v>98</v>
      </c>
    </row>
    <row r="10" spans="1:2" ht="30" customHeight="1" x14ac:dyDescent="0.2">
      <c r="A10" s="78" t="s">
        <v>75</v>
      </c>
    </row>
    <row r="11" spans="1:2" ht="25.5" x14ac:dyDescent="0.2">
      <c r="A11" s="78" t="s">
        <v>99</v>
      </c>
    </row>
    <row r="13" spans="1:2" x14ac:dyDescent="0.2">
      <c r="A13" s="43" t="s">
        <v>117</v>
      </c>
    </row>
    <row r="14" spans="1:2" x14ac:dyDescent="0.2">
      <c r="A14" s="42" t="s">
        <v>118</v>
      </c>
    </row>
    <row r="15" spans="1:2" x14ac:dyDescent="0.2">
      <c r="A15" s="42" t="s">
        <v>119</v>
      </c>
    </row>
    <row r="16" spans="1:2" x14ac:dyDescent="0.2">
      <c r="A16" s="42" t="s">
        <v>129</v>
      </c>
    </row>
    <row r="17" spans="1:1" x14ac:dyDescent="0.2">
      <c r="A17" s="42" t="s">
        <v>130</v>
      </c>
    </row>
    <row r="18" spans="1:1" x14ac:dyDescent="0.2">
      <c r="A18" s="245" t="s">
        <v>149</v>
      </c>
    </row>
  </sheetData>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K21"/>
  <sheetViews>
    <sheetView zoomScale="90" zoomScaleNormal="90" workbookViewId="0"/>
  </sheetViews>
  <sheetFormatPr defaultRowHeight="12.75" x14ac:dyDescent="0.2"/>
  <cols>
    <col min="1" max="1" width="4.85546875" customWidth="1"/>
    <col min="2" max="2" width="177.7109375" customWidth="1"/>
  </cols>
  <sheetData>
    <row r="1" spans="1:11" x14ac:dyDescent="0.2">
      <c r="A1" s="244" t="s">
        <v>147</v>
      </c>
    </row>
    <row r="2" spans="1:11" ht="31.5" customHeight="1" x14ac:dyDescent="0.2"/>
    <row r="3" spans="1:11" ht="31.5" customHeight="1" x14ac:dyDescent="0.2"/>
    <row r="4" spans="1:11" ht="31.5" customHeight="1" x14ac:dyDescent="0.2"/>
    <row r="5" spans="1:11" ht="31.5" customHeight="1" x14ac:dyDescent="0.2"/>
    <row r="6" spans="1:11" ht="31.5" customHeight="1" x14ac:dyDescent="0.2"/>
    <row r="7" spans="1:11" ht="31.5" customHeight="1" x14ac:dyDescent="0.2"/>
    <row r="8" spans="1:11" ht="31.5" customHeight="1" x14ac:dyDescent="0.2"/>
    <row r="9" spans="1:11" ht="31.5" customHeight="1" x14ac:dyDescent="0.2"/>
    <row r="10" spans="1:11" ht="25.5" customHeight="1" x14ac:dyDescent="0.25">
      <c r="B10" s="137" t="s">
        <v>83</v>
      </c>
      <c r="C10" s="137"/>
      <c r="D10" s="137"/>
      <c r="E10" s="137"/>
      <c r="F10" s="137"/>
      <c r="G10" s="137"/>
      <c r="H10" s="137"/>
      <c r="I10" s="137"/>
      <c r="J10" s="137"/>
      <c r="K10" s="137"/>
    </row>
    <row r="11" spans="1:11" ht="28.5" x14ac:dyDescent="0.25">
      <c r="A11" s="166" t="s">
        <v>135</v>
      </c>
      <c r="B11" s="139" t="s">
        <v>137</v>
      </c>
      <c r="C11" s="137"/>
      <c r="D11" s="137"/>
      <c r="E11" s="137"/>
      <c r="F11" s="137"/>
      <c r="G11" s="137"/>
      <c r="H11" s="137"/>
      <c r="I11" s="137"/>
      <c r="J11" s="137"/>
      <c r="K11" s="137"/>
    </row>
    <row r="12" spans="1:11" ht="25.5" customHeight="1" x14ac:dyDescent="0.25">
      <c r="A12" s="166" t="s">
        <v>136</v>
      </c>
      <c r="B12" s="139" t="s">
        <v>138</v>
      </c>
      <c r="C12" s="137"/>
      <c r="D12" s="137"/>
      <c r="E12" s="137"/>
      <c r="F12" s="137"/>
      <c r="G12" s="137"/>
      <c r="H12" s="137"/>
      <c r="I12" s="137"/>
      <c r="J12" s="137"/>
      <c r="K12" s="137"/>
    </row>
    <row r="13" spans="1:11" ht="28.5" customHeight="1" x14ac:dyDescent="0.2">
      <c r="A13" s="136" t="s">
        <v>87</v>
      </c>
      <c r="B13" s="138" t="s">
        <v>85</v>
      </c>
      <c r="C13" s="133"/>
      <c r="D13" s="133"/>
      <c r="E13" s="133"/>
      <c r="F13" s="133"/>
      <c r="G13" s="133"/>
      <c r="H13" s="133"/>
      <c r="I13" s="133"/>
      <c r="J13" s="133"/>
      <c r="K13" s="133"/>
    </row>
    <row r="14" spans="1:11" ht="37.5" x14ac:dyDescent="0.2">
      <c r="A14" s="136" t="s">
        <v>88</v>
      </c>
      <c r="B14" s="135" t="s">
        <v>95</v>
      </c>
      <c r="C14" s="132"/>
      <c r="D14" s="132"/>
      <c r="E14" s="132"/>
      <c r="F14" s="132"/>
      <c r="G14" s="132"/>
      <c r="H14" s="132"/>
      <c r="I14" s="132"/>
      <c r="J14" s="132"/>
      <c r="K14" s="132"/>
    </row>
    <row r="15" spans="1:11" ht="18.75" x14ac:dyDescent="0.2">
      <c r="A15" s="136" t="s">
        <v>89</v>
      </c>
      <c r="B15" s="134" t="s">
        <v>86</v>
      </c>
      <c r="C15" s="133"/>
      <c r="D15" s="133"/>
      <c r="E15" s="133"/>
      <c r="F15" s="133"/>
      <c r="G15" s="133"/>
      <c r="H15" s="133"/>
      <c r="I15" s="133"/>
      <c r="J15" s="133"/>
      <c r="K15" s="133"/>
    </row>
    <row r="16" spans="1:11" ht="41.25" customHeight="1" x14ac:dyDescent="0.2">
      <c r="A16" s="136" t="s">
        <v>90</v>
      </c>
      <c r="B16" s="135" t="s">
        <v>111</v>
      </c>
      <c r="C16" s="132"/>
      <c r="D16" s="132"/>
      <c r="E16" s="132"/>
      <c r="F16" s="132"/>
      <c r="G16" s="132"/>
      <c r="H16" s="132"/>
      <c r="I16" s="132"/>
      <c r="J16" s="132"/>
      <c r="K16" s="132"/>
    </row>
    <row r="17" spans="1:11" ht="28.5" customHeight="1" x14ac:dyDescent="0.2">
      <c r="A17" s="136" t="s">
        <v>91</v>
      </c>
      <c r="B17" s="135" t="s">
        <v>94</v>
      </c>
      <c r="C17" s="132"/>
      <c r="D17" s="132"/>
      <c r="E17" s="132"/>
      <c r="F17" s="132"/>
      <c r="G17" s="132"/>
      <c r="H17" s="132"/>
      <c r="I17" s="132"/>
      <c r="J17" s="132"/>
      <c r="K17" s="132"/>
    </row>
    <row r="18" spans="1:11" ht="28.5" customHeight="1" x14ac:dyDescent="0.2">
      <c r="A18" s="136" t="s">
        <v>92</v>
      </c>
      <c r="B18" s="139" t="s">
        <v>110</v>
      </c>
      <c r="C18" s="132"/>
      <c r="D18" s="132"/>
      <c r="E18" s="132"/>
      <c r="F18" s="132"/>
      <c r="G18" s="132"/>
      <c r="H18" s="132"/>
      <c r="I18" s="132"/>
      <c r="J18" s="132"/>
      <c r="K18" s="132"/>
    </row>
    <row r="19" spans="1:11" ht="28.5" customHeight="1" x14ac:dyDescent="0.2">
      <c r="A19" s="136" t="s">
        <v>84</v>
      </c>
      <c r="B19" s="139" t="s">
        <v>96</v>
      </c>
      <c r="C19" s="132"/>
      <c r="D19" s="132"/>
      <c r="E19" s="132"/>
      <c r="F19" s="132"/>
      <c r="G19" s="132"/>
      <c r="H19" s="132"/>
      <c r="I19" s="132"/>
      <c r="J19" s="132"/>
      <c r="K19" s="132"/>
    </row>
    <row r="20" spans="1:11" ht="28.5" customHeight="1" x14ac:dyDescent="0.2">
      <c r="A20" s="136" t="s">
        <v>93</v>
      </c>
      <c r="B20" s="139" t="s">
        <v>112</v>
      </c>
      <c r="C20" s="132"/>
      <c r="D20" s="132"/>
      <c r="E20" s="132"/>
      <c r="F20" s="132"/>
      <c r="G20" s="132"/>
      <c r="H20" s="132"/>
      <c r="I20" s="132"/>
      <c r="J20" s="132"/>
      <c r="K20" s="132"/>
    </row>
    <row r="21" spans="1:11" x14ac:dyDescent="0.2">
      <c r="A21" s="131"/>
      <c r="B21" s="132"/>
      <c r="C21" s="132"/>
      <c r="D21" s="132"/>
      <c r="E21" s="132"/>
      <c r="F21" s="132"/>
      <c r="G21" s="132"/>
      <c r="H21" s="132"/>
      <c r="I21" s="132"/>
      <c r="J21" s="132"/>
      <c r="K21" s="132"/>
    </row>
  </sheetData>
  <pageMargins left="0.7" right="0.7" top="0.75" bottom="0.75" header="0.3" footer="0.3"/>
  <pageSetup paperSize="17"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P64"/>
  <sheetViews>
    <sheetView zoomScale="80" zoomScaleNormal="80" workbookViewId="0"/>
  </sheetViews>
  <sheetFormatPr defaultRowHeight="12.75" x14ac:dyDescent="0.2"/>
  <cols>
    <col min="1" max="1" width="3.7109375" customWidth="1"/>
    <col min="2" max="2" width="19.42578125" customWidth="1"/>
    <col min="3" max="3" width="14.85546875" customWidth="1"/>
    <col min="4" max="4" width="17.7109375" customWidth="1"/>
    <col min="6" max="6" width="10.85546875" customWidth="1"/>
    <col min="8" max="8" width="7.7109375" customWidth="1"/>
    <col min="9" max="9" width="5" customWidth="1"/>
    <col min="10" max="10" width="19.5703125" customWidth="1"/>
    <col min="11" max="11" width="14.85546875" customWidth="1"/>
    <col min="12" max="12" width="17.140625" customWidth="1"/>
    <col min="13" max="13" width="9.140625" customWidth="1"/>
    <col min="14" max="14" width="10.85546875" customWidth="1"/>
  </cols>
  <sheetData>
    <row r="1" spans="1:16" x14ac:dyDescent="0.2">
      <c r="A1" s="244" t="s">
        <v>147</v>
      </c>
    </row>
    <row r="2" spans="1:16" ht="16.5" thickBot="1" x14ac:dyDescent="0.3">
      <c r="A2" s="157" t="s">
        <v>115</v>
      </c>
      <c r="C2" s="162" t="s">
        <v>131</v>
      </c>
      <c r="H2" s="21"/>
      <c r="I2" s="21"/>
      <c r="J2" s="21"/>
      <c r="K2" s="21"/>
    </row>
    <row r="3" spans="1:16" x14ac:dyDescent="0.2">
      <c r="B3" s="34" t="s">
        <v>44</v>
      </c>
      <c r="C3" s="33"/>
      <c r="D3" s="21"/>
      <c r="E3" s="35" t="s">
        <v>45</v>
      </c>
      <c r="F3" s="26"/>
      <c r="G3" s="21"/>
      <c r="H3" s="21"/>
      <c r="I3" s="21"/>
      <c r="J3" s="21"/>
      <c r="K3" s="21"/>
      <c r="L3" s="21"/>
      <c r="M3" s="21"/>
    </row>
    <row r="4" spans="1:16" x14ac:dyDescent="0.2">
      <c r="B4" s="31" t="s">
        <v>43</v>
      </c>
      <c r="C4" s="95">
        <v>35</v>
      </c>
      <c r="E4" s="151" t="s">
        <v>33</v>
      </c>
      <c r="F4" s="57">
        <f>VLOOKUP(C4,EShyLine,2)</f>
        <v>4.5</v>
      </c>
      <c r="G4" s="23" t="s">
        <v>47</v>
      </c>
      <c r="H4" s="21"/>
      <c r="I4" s="99"/>
      <c r="L4" s="21"/>
      <c r="M4" s="21"/>
    </row>
    <row r="5" spans="1:16" ht="13.5" thickBot="1" x14ac:dyDescent="0.25">
      <c r="B5" s="32" t="s">
        <v>54</v>
      </c>
      <c r="C5" s="96">
        <v>1500</v>
      </c>
      <c r="E5" s="151" t="s">
        <v>34</v>
      </c>
      <c r="F5" s="57">
        <f>VLOOKUP(C4,ERunout,IF(C5&lt;=1000,5,IF(C5&lt;=5000,4,IF(C5&lt;=10000,3,2))))</f>
        <v>95</v>
      </c>
      <c r="G5" s="38" t="s">
        <v>46</v>
      </c>
      <c r="H5" s="21"/>
      <c r="I5" s="99"/>
      <c r="L5" s="21"/>
      <c r="M5" s="21"/>
    </row>
    <row r="6" spans="1:16" ht="12.75" customHeight="1" x14ac:dyDescent="0.2">
      <c r="D6" s="99"/>
      <c r="E6" s="73" t="str">
        <f>IF(C4&gt;=45,"Lc"," ")</f>
        <v xml:space="preserve"> </v>
      </c>
      <c r="F6" s="74" t="str">
        <f>IF(C4&gt;=45,IF(C4&lt;=50,VLOOKUP(C5,EClear50,IF(C11='USCust RDG 2011'!E40,3,2)),IF(C4&lt;=55,VLOOKUP(C5,EClear55,IF(C11='USCust RDG 2011'!E40,3,2)),IF(C4&lt;=60,VLOOKUP(C5,EClear60,IF(C11='USCust RDG 2011'!E40,3,2)),IF(C4&lt;=70,VLOOKUP(C5,EClear70,IF(C11='USCust RDG 2011'!E40,3,2))))))," ")</f>
        <v xml:space="preserve"> </v>
      </c>
      <c r="G6" s="178" t="s">
        <v>48</v>
      </c>
      <c r="H6" s="99"/>
      <c r="I6" s="99"/>
      <c r="J6" s="99"/>
      <c r="K6" s="99"/>
      <c r="L6" s="21"/>
      <c r="M6" s="21"/>
    </row>
    <row r="7" spans="1:16" ht="13.5" thickBot="1" x14ac:dyDescent="0.25">
      <c r="D7" s="99"/>
      <c r="E7" s="159" t="str">
        <f>IF(C4&lt;45,"Lc"," ")</f>
        <v>Lc</v>
      </c>
      <c r="F7" s="160">
        <f>IF(C4&lt;45,IF(C4&lt;=20,VLOOKUP(C5,EClear20,IF(C11='USCust RDG 2011'!E40,3,2)),IF(C4&lt;=30,VLOOKUP(C5,EClear30,IF(C11='USCust RDG 2011'!E40,3,2)),IF(C4&lt;=35,VLOOKUP(C5,EClear35,IF(C11='USCust RDG 2011'!E40,3,2)),IF(C4&lt;=40,VLOOKUP(C5,EClear40,IF(C11='USCust RDG 2011'!E40,3,2))))))," ")</f>
        <v>12</v>
      </c>
      <c r="G7" s="179"/>
      <c r="H7" s="21"/>
      <c r="I7" s="21"/>
      <c r="J7" s="21"/>
      <c r="K7" s="21"/>
      <c r="L7" s="21"/>
      <c r="M7" s="21"/>
    </row>
    <row r="8" spans="1:16" x14ac:dyDescent="0.2">
      <c r="D8" s="99"/>
      <c r="H8" s="21"/>
      <c r="I8" s="21"/>
      <c r="J8" s="21"/>
      <c r="K8" s="21"/>
      <c r="L8" s="21"/>
      <c r="M8" s="21"/>
    </row>
    <row r="9" spans="1:16" x14ac:dyDescent="0.2">
      <c r="B9" s="40"/>
      <c r="C9" s="40"/>
      <c r="D9" s="99"/>
      <c r="H9" s="21"/>
      <c r="I9" s="21"/>
      <c r="J9" s="21"/>
      <c r="K9" s="21"/>
      <c r="L9" s="21"/>
      <c r="M9" s="21"/>
    </row>
    <row r="10" spans="1:16" ht="15.75" thickBot="1" x14ac:dyDescent="0.3">
      <c r="A10" s="158" t="s">
        <v>144</v>
      </c>
      <c r="H10" s="21"/>
      <c r="I10" s="158" t="s">
        <v>145</v>
      </c>
    </row>
    <row r="11" spans="1:16" ht="13.5" thickBot="1" x14ac:dyDescent="0.25">
      <c r="B11" s="152" t="s">
        <v>37</v>
      </c>
      <c r="C11" s="101" t="s">
        <v>132</v>
      </c>
      <c r="E11" s="155" t="s">
        <v>38</v>
      </c>
      <c r="F11" s="156">
        <f>MIN(C12,F6,F7,E18)</f>
        <v>12</v>
      </c>
      <c r="H11" s="21"/>
      <c r="J11" s="152" t="s">
        <v>37</v>
      </c>
      <c r="K11" s="101" t="s">
        <v>132</v>
      </c>
      <c r="M11" s="155" t="s">
        <v>38</v>
      </c>
      <c r="N11" s="156">
        <f>MIN(K12,F6,F7,M18)</f>
        <v>12</v>
      </c>
    </row>
    <row r="12" spans="1:16" x14ac:dyDescent="0.2">
      <c r="B12" s="153" t="s">
        <v>140</v>
      </c>
      <c r="C12" s="95">
        <v>22</v>
      </c>
      <c r="E12" s="23" t="s">
        <v>49</v>
      </c>
      <c r="H12" s="21"/>
      <c r="J12" s="153" t="s">
        <v>140</v>
      </c>
      <c r="K12" s="95">
        <v>22</v>
      </c>
      <c r="M12" s="23" t="s">
        <v>49</v>
      </c>
    </row>
    <row r="13" spans="1:16" ht="13.5" thickBot="1" x14ac:dyDescent="0.25">
      <c r="B13" s="154" t="s">
        <v>122</v>
      </c>
      <c r="C13" s="96">
        <v>11</v>
      </c>
      <c r="H13" s="21"/>
      <c r="J13" s="154" t="s">
        <v>123</v>
      </c>
      <c r="K13" s="96">
        <v>12</v>
      </c>
    </row>
    <row r="14" spans="1:16" ht="13.5" thickBot="1" x14ac:dyDescent="0.25">
      <c r="H14" s="21"/>
    </row>
    <row r="15" spans="1:16" ht="12.75" customHeight="1" x14ac:dyDescent="0.2">
      <c r="B15" s="41" t="s">
        <v>52</v>
      </c>
      <c r="C15" s="97" t="s">
        <v>64</v>
      </c>
      <c r="D15" s="168" t="s">
        <v>71</v>
      </c>
      <c r="E15" s="101" t="s">
        <v>64</v>
      </c>
      <c r="F15" s="169" t="str">
        <f>IF(E15="Yes","Barrier length may end where Lr intersects the tangential runout path according to RDG Figure 5-48."," ")</f>
        <v xml:space="preserve"> </v>
      </c>
      <c r="G15" s="170"/>
      <c r="H15" s="170"/>
      <c r="J15" s="41" t="s">
        <v>52</v>
      </c>
      <c r="K15" s="97" t="s">
        <v>64</v>
      </c>
      <c r="L15" s="168" t="s">
        <v>71</v>
      </c>
      <c r="M15" s="101" t="s">
        <v>64</v>
      </c>
      <c r="N15" s="169" t="str">
        <f>IF(M15="Yes","Barrier length may end where Lr intersects the tangential runout path according to RDG Figure 5-48."," ")</f>
        <v xml:space="preserve"> </v>
      </c>
      <c r="O15" s="170"/>
      <c r="P15" s="170"/>
    </row>
    <row r="16" spans="1:16" ht="12.75" customHeight="1" x14ac:dyDescent="0.2">
      <c r="B16" s="58" t="str">
        <f>IF($C$15="Yes","L1, start system flare"," ")</f>
        <v xml:space="preserve"> </v>
      </c>
      <c r="C16" s="98">
        <v>25</v>
      </c>
      <c r="D16" s="75" t="str">
        <f>IF(E15="Yes", "Curve Radius (ft)"," ")</f>
        <v xml:space="preserve"> </v>
      </c>
      <c r="E16" s="100">
        <v>820</v>
      </c>
      <c r="F16" s="169"/>
      <c r="G16" s="170"/>
      <c r="H16" s="170"/>
      <c r="J16" s="58" t="str">
        <f>IF($K$15="Yes","L1, start system flare"," ")</f>
        <v xml:space="preserve"> </v>
      </c>
      <c r="K16" s="98">
        <v>25</v>
      </c>
      <c r="L16" s="75" t="str">
        <f>IF(M15="Yes", "Curve Radius (ft)"," ")</f>
        <v xml:space="preserve"> </v>
      </c>
      <c r="M16" s="100">
        <v>820</v>
      </c>
      <c r="N16" s="169"/>
      <c r="O16" s="170"/>
      <c r="P16" s="170"/>
    </row>
    <row r="17" spans="1:16" x14ac:dyDescent="0.2">
      <c r="B17" s="58" t="str">
        <f>IF($C$15="yes","a"," ")</f>
        <v xml:space="preserve"> </v>
      </c>
      <c r="C17" s="59" t="str">
        <f>IF($C$15="Yes",VLOOKUP(C4,EFlare,IF(C13&lt;F4,2,4))," ")</f>
        <v xml:space="preserve"> </v>
      </c>
      <c r="D17" s="75" t="str">
        <f>IF(E15="Yes","Kcz Factor"," ")</f>
        <v xml:space="preserve"> </v>
      </c>
      <c r="E17" s="102" t="str">
        <f>IF(E15="Yes",IF(C4&gt;=40,VLOOKUP(C4,ECurveCorrection,HLOOKUP(E16,ECurves,2)),1)," ")</f>
        <v xml:space="preserve"> </v>
      </c>
      <c r="F17" s="169"/>
      <c r="G17" s="170"/>
      <c r="H17" s="170"/>
      <c r="J17" s="58" t="str">
        <f>IF($K$15="yes","a"," ")</f>
        <v xml:space="preserve"> </v>
      </c>
      <c r="K17" s="59" t="str">
        <f>IF($K$15="Yes",VLOOKUP(C4,EFlare,IF(K13&lt;F4,2,4))," ")</f>
        <v xml:space="preserve"> </v>
      </c>
      <c r="L17" s="75" t="str">
        <f>IF(M15="Yes","Kcz Factor"," ")</f>
        <v xml:space="preserve"> </v>
      </c>
      <c r="M17" s="102" t="str">
        <f>IF(M15="Yes",IF(C4&gt;=40,VLOOKUP(C4,ECurveCorrection,HLOOKUP(M16,ECurves,2)),1)," ")</f>
        <v xml:space="preserve"> </v>
      </c>
      <c r="N17" s="169"/>
      <c r="O17" s="170"/>
      <c r="P17" s="170"/>
    </row>
    <row r="18" spans="1:16" ht="13.5" thickBot="1" x14ac:dyDescent="0.25">
      <c r="B18" s="60"/>
      <c r="C18" s="61" t="str">
        <f>IF(C15="Yes","of a/b system flare, b=1"," ")</f>
        <v xml:space="preserve"> </v>
      </c>
      <c r="D18" s="76" t="str">
        <f>IF(E15="Yes","Adjusted Lc"," ")</f>
        <v xml:space="preserve"> </v>
      </c>
      <c r="E18" s="103" t="str">
        <f>IF(E15="Yes",IF(C4&gt;=45,F6*E17,F7*E17)," ")</f>
        <v xml:space="preserve"> </v>
      </c>
      <c r="F18" s="169"/>
      <c r="G18" s="170"/>
      <c r="H18" s="170"/>
      <c r="J18" s="60"/>
      <c r="K18" s="61" t="str">
        <f>IF(K15="Yes","of a/b system flare, b=1"," ")</f>
        <v xml:space="preserve"> </v>
      </c>
      <c r="L18" s="76" t="str">
        <f>IF(M15="Yes","Adjusted Lc"," ")</f>
        <v xml:space="preserve"> </v>
      </c>
      <c r="M18" s="103" t="str">
        <f>IF(M15="Yes",IF(C4&gt;=45,F6*M17,F7*M17)," ")</f>
        <v xml:space="preserve"> </v>
      </c>
      <c r="N18" s="169"/>
      <c r="O18" s="170"/>
      <c r="P18" s="170"/>
    </row>
    <row r="19" spans="1:16" ht="13.5" thickBot="1" x14ac:dyDescent="0.25">
      <c r="B19" s="99"/>
      <c r="C19" s="99"/>
      <c r="D19" s="99"/>
      <c r="E19" s="99"/>
      <c r="F19" s="99"/>
      <c r="G19" s="99"/>
      <c r="H19" s="21"/>
      <c r="J19" s="99"/>
      <c r="K19" s="99"/>
      <c r="L19" s="99"/>
      <c r="M19" s="99"/>
      <c r="N19" s="99"/>
      <c r="O19" s="99"/>
    </row>
    <row r="20" spans="1:16" x14ac:dyDescent="0.2">
      <c r="B20" s="77" t="s">
        <v>72</v>
      </c>
      <c r="C20" s="101" t="s">
        <v>64</v>
      </c>
      <c r="D20" s="104" t="s">
        <v>139</v>
      </c>
      <c r="E20" s="33" t="str">
        <f>IF(C4&lt;50,"TL-2","TL-3")</f>
        <v>TL-2</v>
      </c>
      <c r="F20" s="149" t="str">
        <f>IF(E20="TL-2","OK for &lt;=45 mph","OK for &gt;=60 mph")</f>
        <v>OK for &lt;=45 mph</v>
      </c>
      <c r="G20" s="99"/>
      <c r="H20" s="21"/>
      <c r="J20" s="77" t="s">
        <v>72</v>
      </c>
      <c r="K20" s="101" t="s">
        <v>64</v>
      </c>
      <c r="L20" s="104" t="s">
        <v>139</v>
      </c>
      <c r="M20" s="33" t="str">
        <f>IF(C4&lt;50,"TL-2","TL-3")</f>
        <v>TL-2</v>
      </c>
      <c r="N20" s="149" t="str">
        <f>IF(M20="TL-2","OK for &lt;=45 mph","OK for &gt;=60 mph")</f>
        <v>OK for &lt;=45 mph</v>
      </c>
      <c r="O20" s="99"/>
    </row>
    <row r="21" spans="1:16" ht="13.5" thickBot="1" x14ac:dyDescent="0.25">
      <c r="B21" s="105" t="str">
        <f>IF($C$20="yes","Length (ft)"," ")</f>
        <v xml:space="preserve"> </v>
      </c>
      <c r="C21" s="106">
        <v>20</v>
      </c>
      <c r="D21" s="107" t="s">
        <v>141</v>
      </c>
      <c r="E21" s="108">
        <v>25</v>
      </c>
      <c r="F21" s="194" t="str">
        <f>IF(AND(E20="TL-3",E21&lt;37.5),"Use OTHER terminal!",IF(E21=40.75,"SBT TL-2 Terminal"," "))</f>
        <v xml:space="preserve"> </v>
      </c>
      <c r="G21" s="195"/>
      <c r="H21" s="21"/>
      <c r="J21" s="105" t="str">
        <f>IF($K$20="yes","Length (ft)"," ")</f>
        <v xml:space="preserve"> </v>
      </c>
      <c r="K21" s="106">
        <v>18</v>
      </c>
      <c r="L21" s="107" t="s">
        <v>141</v>
      </c>
      <c r="M21" s="108">
        <v>25</v>
      </c>
      <c r="N21" s="194" t="str">
        <f>IF(AND(M20="TL-3",M21&lt;37.5),"Use OTHER terminal!",IF(M21=40.75,"SBT TL-2 Terminal"," "))</f>
        <v xml:space="preserve"> </v>
      </c>
      <c r="O21" s="195"/>
    </row>
    <row r="22" spans="1:16" ht="13.5" thickBot="1" x14ac:dyDescent="0.25">
      <c r="B22" s="21"/>
      <c r="C22" s="21"/>
      <c r="D22" s="21"/>
      <c r="E22" s="21"/>
      <c r="F22" s="21"/>
      <c r="G22" s="21"/>
      <c r="H22" s="24"/>
      <c r="J22" s="21"/>
      <c r="K22" s="21"/>
      <c r="L22" s="21"/>
      <c r="M22" s="21"/>
      <c r="N22" s="21"/>
      <c r="O22" s="21"/>
    </row>
    <row r="23" spans="1:16" x14ac:dyDescent="0.2">
      <c r="B23" s="35" t="s">
        <v>50</v>
      </c>
      <c r="C23" s="25"/>
      <c r="D23" s="25"/>
      <c r="E23" s="36"/>
      <c r="F23" s="36"/>
      <c r="G23" s="37"/>
      <c r="H23" s="24"/>
      <c r="J23" s="35" t="s">
        <v>50</v>
      </c>
      <c r="K23" s="25"/>
      <c r="L23" s="25"/>
      <c r="M23" s="36"/>
      <c r="N23" s="36"/>
      <c r="O23" s="37"/>
    </row>
    <row r="24" spans="1:16" x14ac:dyDescent="0.2">
      <c r="B24" s="174" t="s">
        <v>18</v>
      </c>
      <c r="C24" s="10" t="s">
        <v>23</v>
      </c>
      <c r="D24" s="172" t="s">
        <v>39</v>
      </c>
      <c r="E24" s="144">
        <f>IF(C15="Yes"," ",F11-C13)</f>
        <v>1</v>
      </c>
      <c r="F24" s="176" t="s">
        <v>39</v>
      </c>
      <c r="G24" s="186">
        <f>IF(C15="Yes"," ",E24/E25)</f>
        <v>7.9166666666666661</v>
      </c>
      <c r="H24" s="171" t="str">
        <f>IF(G24&gt;0," ","Only need a terminal.")</f>
        <v xml:space="preserve"> </v>
      </c>
      <c r="J24" s="174" t="s">
        <v>18</v>
      </c>
      <c r="K24" s="10" t="s">
        <v>23</v>
      </c>
      <c r="L24" s="172" t="s">
        <v>39</v>
      </c>
      <c r="M24" s="144">
        <f>IF(K15="Yes"," ",N11-K13)</f>
        <v>0</v>
      </c>
      <c r="N24" s="176" t="s">
        <v>39</v>
      </c>
      <c r="O24" s="186">
        <f>IF(K15="Yes"," ",M24/M25)</f>
        <v>0</v>
      </c>
      <c r="P24" s="171" t="str">
        <f>IF(O24&gt;0," ","Only need a terminal.")</f>
        <v>Only need a terminal.</v>
      </c>
    </row>
    <row r="25" spans="1:16" ht="13.5" thickBot="1" x14ac:dyDescent="0.25">
      <c r="B25" s="175"/>
      <c r="C25" s="29" t="s">
        <v>24</v>
      </c>
      <c r="D25" s="173"/>
      <c r="E25" s="145">
        <f>IF(C15="Yes"," ",F11/F5)</f>
        <v>0.12631578947368421</v>
      </c>
      <c r="F25" s="177"/>
      <c r="G25" s="187"/>
      <c r="H25" s="171"/>
      <c r="J25" s="175"/>
      <c r="K25" s="29" t="s">
        <v>24</v>
      </c>
      <c r="L25" s="173"/>
      <c r="M25" s="145">
        <f>IF(K15="Yes"," ",N11/F5)</f>
        <v>0.12631578947368421</v>
      </c>
      <c r="N25" s="177"/>
      <c r="O25" s="187"/>
      <c r="P25" s="171"/>
    </row>
    <row r="26" spans="1:16" x14ac:dyDescent="0.2">
      <c r="H26" s="24"/>
    </row>
    <row r="27" spans="1:16" ht="13.5" thickBot="1" x14ac:dyDescent="0.25">
      <c r="H27" s="24"/>
    </row>
    <row r="28" spans="1:16" x14ac:dyDescent="0.2">
      <c r="B28" s="64" t="s">
        <v>51</v>
      </c>
      <c r="C28" s="62"/>
      <c r="D28" s="62"/>
      <c r="E28" s="62"/>
      <c r="F28" s="62"/>
      <c r="G28" s="63"/>
      <c r="H28" s="21"/>
      <c r="J28" s="64" t="s">
        <v>51</v>
      </c>
      <c r="K28" s="62"/>
      <c r="L28" s="62"/>
      <c r="M28" s="62"/>
      <c r="N28" s="62"/>
      <c r="O28" s="63"/>
    </row>
    <row r="29" spans="1:16" x14ac:dyDescent="0.2">
      <c r="B29" s="183" t="s">
        <v>18</v>
      </c>
      <c r="C29" s="146" t="s">
        <v>20</v>
      </c>
      <c r="D29" s="184" t="s">
        <v>39</v>
      </c>
      <c r="E29" s="147" t="str">
        <f>IF(C15="Yes",F11+(C16/C17)-C13," ")</f>
        <v xml:space="preserve"> </v>
      </c>
      <c r="F29" s="184" t="s">
        <v>39</v>
      </c>
      <c r="G29" s="185" t="str">
        <f>IF(C15="Yes",E29/E30," ")</f>
        <v xml:space="preserve"> </v>
      </c>
      <c r="J29" s="183" t="s">
        <v>18</v>
      </c>
      <c r="K29" s="146" t="s">
        <v>20</v>
      </c>
      <c r="L29" s="184" t="s">
        <v>39</v>
      </c>
      <c r="M29" s="147" t="str">
        <f>IF(K15="Yes",N11+(K16/K17)-K13," ")</f>
        <v xml:space="preserve"> </v>
      </c>
      <c r="N29" s="184" t="s">
        <v>39</v>
      </c>
      <c r="O29" s="185" t="str">
        <f>IF(K15="Yes",M29/M30," ")</f>
        <v xml:space="preserve"> </v>
      </c>
    </row>
    <row r="30" spans="1:16" x14ac:dyDescent="0.2">
      <c r="B30" s="183"/>
      <c r="C30" s="65" t="s">
        <v>21</v>
      </c>
      <c r="D30" s="184"/>
      <c r="E30" s="66" t="str">
        <f>IF(C15="Yes",1/C17+(F11/F5)," ")</f>
        <v xml:space="preserve"> </v>
      </c>
      <c r="F30" s="184"/>
      <c r="G30" s="185"/>
      <c r="J30" s="183"/>
      <c r="K30" s="65" t="s">
        <v>21</v>
      </c>
      <c r="L30" s="184"/>
      <c r="M30" s="66" t="str">
        <f>IF(K15="Yes",1/K17+(N11/F5)," ")</f>
        <v xml:space="preserve"> </v>
      </c>
      <c r="N30" s="184"/>
      <c r="O30" s="185"/>
    </row>
    <row r="31" spans="1:16" x14ac:dyDescent="0.2">
      <c r="B31" s="67"/>
      <c r="C31" s="65"/>
      <c r="D31" s="66"/>
      <c r="E31" s="66"/>
      <c r="F31" s="66"/>
      <c r="G31" s="68"/>
      <c r="J31" s="67"/>
      <c r="K31" s="65"/>
      <c r="L31" s="66"/>
      <c r="M31" s="66"/>
      <c r="N31" s="66"/>
      <c r="O31" s="68"/>
    </row>
    <row r="32" spans="1:16" ht="13.5" thickBot="1" x14ac:dyDescent="0.25">
      <c r="A32" s="39"/>
      <c r="B32" s="69" t="s">
        <v>19</v>
      </c>
      <c r="C32" s="70" t="s">
        <v>22</v>
      </c>
      <c r="D32" s="71" t="s">
        <v>39</v>
      </c>
      <c r="E32" s="148" t="str">
        <f>IF(C15="Yes",F11-G29*(F11/F5)," ")</f>
        <v xml:space="preserve"> </v>
      </c>
      <c r="F32" s="71"/>
      <c r="G32" s="72"/>
      <c r="I32" s="39"/>
      <c r="J32" s="69" t="s">
        <v>19</v>
      </c>
      <c r="K32" s="70" t="s">
        <v>22</v>
      </c>
      <c r="L32" s="71" t="s">
        <v>39</v>
      </c>
      <c r="M32" s="148" t="str">
        <f>IF(K15="Yes",N11-O29*(N11/F5)," ")</f>
        <v xml:space="preserve"> </v>
      </c>
      <c r="N32" s="71"/>
      <c r="O32" s="72"/>
    </row>
    <row r="33" spans="1:12" x14ac:dyDescent="0.2">
      <c r="A33" s="39"/>
    </row>
    <row r="34" spans="1:12" x14ac:dyDescent="0.2">
      <c r="A34" s="12"/>
      <c r="D34" s="165" t="s">
        <v>116</v>
      </c>
      <c r="E34" s="165"/>
      <c r="F34" s="165"/>
      <c r="G34" s="165"/>
      <c r="H34" s="165"/>
      <c r="L34" s="165" t="s">
        <v>116</v>
      </c>
    </row>
    <row r="53" spans="1:15" ht="13.5" thickBot="1" x14ac:dyDescent="0.25"/>
    <row r="54" spans="1:15" ht="16.5" thickTop="1" x14ac:dyDescent="0.25">
      <c r="A54" s="12"/>
      <c r="B54" s="180" t="s">
        <v>120</v>
      </c>
      <c r="C54" s="181"/>
      <c r="D54" s="181"/>
      <c r="E54" s="181"/>
      <c r="F54" s="181"/>
      <c r="G54" s="182"/>
      <c r="I54" s="12"/>
      <c r="J54" s="180" t="s">
        <v>121</v>
      </c>
      <c r="K54" s="181"/>
      <c r="L54" s="181"/>
      <c r="M54" s="181"/>
      <c r="N54" s="181"/>
      <c r="O54" s="182"/>
    </row>
    <row r="55" spans="1:15" ht="15.75" x14ac:dyDescent="0.25">
      <c r="A55" s="12"/>
      <c r="B55" s="111"/>
      <c r="C55" s="120"/>
      <c r="D55" s="120"/>
      <c r="E55" s="120"/>
      <c r="F55" s="120"/>
      <c r="G55" s="121"/>
      <c r="I55" s="12"/>
      <c r="J55" s="111"/>
      <c r="K55" s="120"/>
      <c r="L55" s="120"/>
      <c r="M55" s="120"/>
      <c r="N55" s="120"/>
      <c r="O55" s="121"/>
    </row>
    <row r="56" spans="1:15" ht="15" x14ac:dyDescent="0.2">
      <c r="A56" s="12"/>
      <c r="B56" s="112" t="str">
        <f>IF(C20="Yes", "Transition Length", " ")</f>
        <v xml:space="preserve"> </v>
      </c>
      <c r="C56" s="113"/>
      <c r="D56" s="118" t="s">
        <v>66</v>
      </c>
      <c r="E56" s="113"/>
      <c r="F56" s="118" t="s">
        <v>70</v>
      </c>
      <c r="G56" s="119"/>
      <c r="I56" s="12"/>
      <c r="J56" s="112" t="str">
        <f>IF(K20="Yes", "Transition Length", " ")</f>
        <v xml:space="preserve"> </v>
      </c>
      <c r="K56" s="113"/>
      <c r="L56" s="118" t="s">
        <v>66</v>
      </c>
      <c r="M56" s="113"/>
      <c r="N56" s="118" t="s">
        <v>70</v>
      </c>
      <c r="O56" s="119"/>
    </row>
    <row r="57" spans="1:15" ht="15.75" x14ac:dyDescent="0.25">
      <c r="A57" s="12"/>
      <c r="B57" s="117" t="str">
        <f>IF(C20="No", "0",C21)</f>
        <v>0</v>
      </c>
      <c r="C57" s="113"/>
      <c r="D57" s="150">
        <f>E21</f>
        <v>25</v>
      </c>
      <c r="E57" s="120"/>
      <c r="F57" s="118" t="s">
        <v>69</v>
      </c>
      <c r="G57" s="109">
        <f>IF(C15="Yes"," ",IF(G24&lt;0," ",ROUNDUP(((G24-$B$57-($D$57-12.5))/12.5),0)*12.5))</f>
        <v>-12.5</v>
      </c>
      <c r="I57" s="12"/>
      <c r="J57" s="117" t="str">
        <f>IF(K20="No", "0",K21)</f>
        <v>0</v>
      </c>
      <c r="K57" s="113"/>
      <c r="L57" s="150">
        <f>M21</f>
        <v>25</v>
      </c>
      <c r="M57" s="120"/>
      <c r="N57" s="118" t="s">
        <v>69</v>
      </c>
      <c r="O57" s="109">
        <f>IF(K15="Yes"," ",IF(O24&lt;0," ",ROUNDUP(((O24-$J$57-($L$57-12.5))/12.5),0)*12.5))</f>
        <v>-12.5</v>
      </c>
    </row>
    <row r="58" spans="1:15" ht="15.75" thickBot="1" x14ac:dyDescent="0.25">
      <c r="A58" s="12"/>
      <c r="B58" s="114"/>
      <c r="C58" s="115"/>
      <c r="D58" s="116"/>
      <c r="E58" s="115"/>
      <c r="F58" s="115" t="s">
        <v>65</v>
      </c>
      <c r="G58" s="110" t="str">
        <f>IF(C15="Yes",IF(G29&gt;0,ROUNDUP(((G29-$B$57-($D$57-12.5))/12.5),0)*12.5)," ")</f>
        <v xml:space="preserve"> </v>
      </c>
      <c r="I58" s="12"/>
      <c r="J58" s="114"/>
      <c r="K58" s="115"/>
      <c r="L58" s="116"/>
      <c r="M58" s="115"/>
      <c r="N58" s="115" t="s">
        <v>65</v>
      </c>
      <c r="O58" s="110" t="str">
        <f>IF(K15="Yes",IF(O24&gt;0,ROUNDUP(((O29-$J$57-($L$57-12.5))/12.5),0)*12.5)," ")</f>
        <v xml:space="preserve"> </v>
      </c>
    </row>
    <row r="59" spans="1:15" ht="14.25" thickTop="1" thickBot="1" x14ac:dyDescent="0.25"/>
    <row r="60" spans="1:15" ht="16.5" thickTop="1" x14ac:dyDescent="0.25">
      <c r="B60" s="180" t="s">
        <v>125</v>
      </c>
      <c r="C60" s="181"/>
      <c r="D60" s="181"/>
      <c r="E60" s="181"/>
      <c r="F60" s="181"/>
      <c r="G60" s="182"/>
      <c r="J60" s="180" t="s">
        <v>125</v>
      </c>
      <c r="K60" s="181"/>
      <c r="L60" s="181"/>
      <c r="M60" s="181"/>
      <c r="N60" s="181"/>
      <c r="O60" s="182"/>
    </row>
    <row r="61" spans="1:15" ht="16.5" customHeight="1" x14ac:dyDescent="0.2">
      <c r="B61" s="188" t="s">
        <v>124</v>
      </c>
      <c r="C61" s="189"/>
      <c r="D61" s="189"/>
      <c r="E61" s="189"/>
      <c r="F61" s="189"/>
      <c r="G61" s="190"/>
      <c r="J61" s="188" t="s">
        <v>124</v>
      </c>
      <c r="K61" s="189"/>
      <c r="L61" s="189"/>
      <c r="M61" s="189"/>
      <c r="N61" s="189"/>
      <c r="O61" s="190"/>
    </row>
    <row r="62" spans="1:15" ht="12.75" customHeight="1" thickBot="1" x14ac:dyDescent="0.25">
      <c r="B62" s="191"/>
      <c r="C62" s="192"/>
      <c r="D62" s="192"/>
      <c r="E62" s="192"/>
      <c r="F62" s="192"/>
      <c r="G62" s="193"/>
      <c r="J62" s="191"/>
      <c r="K62" s="192"/>
      <c r="L62" s="192"/>
      <c r="M62" s="192"/>
      <c r="N62" s="192"/>
      <c r="O62" s="193"/>
    </row>
    <row r="63" spans="1:15" ht="12.75" customHeight="1" thickTop="1" x14ac:dyDescent="0.25">
      <c r="B63" s="167"/>
      <c r="C63" s="167"/>
      <c r="D63" s="167"/>
      <c r="E63" s="167"/>
      <c r="F63" s="167"/>
      <c r="G63" s="167"/>
    </row>
    <row r="64" spans="1:15" x14ac:dyDescent="0.2">
      <c r="C64" s="21"/>
      <c r="D64" s="21"/>
      <c r="E64" s="21"/>
      <c r="F64" s="21"/>
    </row>
  </sheetData>
  <mergeCells count="29">
    <mergeCell ref="B60:G60"/>
    <mergeCell ref="B61:G62"/>
    <mergeCell ref="J60:O60"/>
    <mergeCell ref="J61:O62"/>
    <mergeCell ref="F21:G21"/>
    <mergeCell ref="N21:O21"/>
    <mergeCell ref="G6:G7"/>
    <mergeCell ref="B54:G54"/>
    <mergeCell ref="J54:O54"/>
    <mergeCell ref="J29:J30"/>
    <mergeCell ref="L29:L30"/>
    <mergeCell ref="N29:N30"/>
    <mergeCell ref="B24:B25"/>
    <mergeCell ref="D24:D25"/>
    <mergeCell ref="F24:F25"/>
    <mergeCell ref="F29:F30"/>
    <mergeCell ref="D29:D30"/>
    <mergeCell ref="B29:B30"/>
    <mergeCell ref="G29:G30"/>
    <mergeCell ref="O29:O30"/>
    <mergeCell ref="G24:G25"/>
    <mergeCell ref="O24:O25"/>
    <mergeCell ref="F15:H18"/>
    <mergeCell ref="N15:P18"/>
    <mergeCell ref="P24:P25"/>
    <mergeCell ref="H24:H25"/>
    <mergeCell ref="L24:L25"/>
    <mergeCell ref="J24:J25"/>
    <mergeCell ref="N24:N25"/>
  </mergeCells>
  <conditionalFormatting sqref="C16">
    <cfRule type="expression" dxfId="27" priority="16" stopIfTrue="1">
      <formula>($C$15="Yes")</formula>
    </cfRule>
  </conditionalFormatting>
  <conditionalFormatting sqref="G57">
    <cfRule type="expression" dxfId="26" priority="15" stopIfTrue="1">
      <formula>($G$57&lt;0)</formula>
    </cfRule>
  </conditionalFormatting>
  <conditionalFormatting sqref="C21 B57">
    <cfRule type="expression" dxfId="25" priority="17">
      <formula>($C$20="Yes")</formula>
    </cfRule>
  </conditionalFormatting>
  <conditionalFormatting sqref="K16">
    <cfRule type="expression" dxfId="24" priority="11" stopIfTrue="1">
      <formula>($K$15="Yes")</formula>
    </cfRule>
  </conditionalFormatting>
  <conditionalFormatting sqref="K21">
    <cfRule type="expression" dxfId="23" priority="12">
      <formula>($K$20="Yes")</formula>
    </cfRule>
  </conditionalFormatting>
  <conditionalFormatting sqref="O57">
    <cfRule type="expression" dxfId="22" priority="7" stopIfTrue="1">
      <formula>($O$57&lt;0)</formula>
    </cfRule>
  </conditionalFormatting>
  <conditionalFormatting sqref="J57">
    <cfRule type="expression" dxfId="21" priority="8">
      <formula>($C$20="Yes")</formula>
    </cfRule>
  </conditionalFormatting>
  <conditionalFormatting sqref="B21">
    <cfRule type="expression" dxfId="20" priority="19" stopIfTrue="1">
      <formula>($F$15="Yes")</formula>
    </cfRule>
  </conditionalFormatting>
  <conditionalFormatting sqref="J21">
    <cfRule type="expression" dxfId="19" priority="20" stopIfTrue="1">
      <formula>($N$15="Yes")</formula>
    </cfRule>
  </conditionalFormatting>
  <conditionalFormatting sqref="E17:E18 D16:D18 L16:L18">
    <cfRule type="expression" dxfId="18" priority="6" stopIfTrue="1">
      <formula>($E$20="Yes")</formula>
    </cfRule>
  </conditionalFormatting>
  <conditionalFormatting sqref="E16">
    <cfRule type="expression" dxfId="17" priority="5" stopIfTrue="1">
      <formula>($E$15="Yes")</formula>
    </cfRule>
  </conditionalFormatting>
  <conditionalFormatting sqref="M17:M18">
    <cfRule type="expression" dxfId="16" priority="4" stopIfTrue="1">
      <formula>($E$20="Yes")</formula>
    </cfRule>
  </conditionalFormatting>
  <conditionalFormatting sqref="M16">
    <cfRule type="expression" dxfId="15" priority="3" stopIfTrue="1">
      <formula>($M$15="Yes")</formula>
    </cfRule>
  </conditionalFormatting>
  <conditionalFormatting sqref="F21:G21">
    <cfRule type="expression" dxfId="14" priority="2">
      <formula>$F$21</formula>
    </cfRule>
  </conditionalFormatting>
  <conditionalFormatting sqref="N21:O21">
    <cfRule type="expression" dxfId="13" priority="1">
      <formula>$F$21</formula>
    </cfRule>
  </conditionalFormatting>
  <dataValidations disablePrompts="1" xWindow="373" yWindow="329" count="13">
    <dataValidation allowBlank="1" showInputMessage="1" showErrorMessage="1" prompt="Enter the tangent length of the barrier measured from the upstream limit of the hazard." sqref="C16 K16"/>
    <dataValidation type="list" allowBlank="1" showInputMessage="1" showErrorMessage="1" prompt="Select YES if there will be guardrail on the outside of a curve." sqref="E15 M15">
      <formula1>Option</formula1>
    </dataValidation>
    <dataValidation type="list" allowBlank="1" showInputMessage="1" showErrorMessage="1" prompt="Select YES if there will be a system flare." sqref="C15 K15">
      <formula1>Option</formula1>
    </dataValidation>
    <dataValidation allowBlank="1" showInputMessage="1" showErrorMessage="1" prompt="Enter the offset of the roadside barrier measured from the edge of the traveled way to the front face of the barrier." sqref="C13 K13"/>
    <dataValidation allowBlank="1" showInputMessage="1" showErrorMessage="1" prompt="Enter the lateral distance from the edge of the traveled way to the FAR SIDE or BACK of the fixed object or hazard." sqref="C12 K12"/>
    <dataValidation type="list" allowBlank="1" showInputMessage="1" showErrorMessage="1" prompt="Select closest side slope from list." sqref="C11 K11">
      <formula1>FillSlope</formula1>
    </dataValidation>
    <dataValidation type="list" allowBlank="1" showInputMessage="1" showErrorMessage="1" prompt="Select closest traffic volume from list." sqref="C5">
      <formula1>ADT</formula1>
    </dataValidation>
    <dataValidation type="list" errorStyle="information" allowBlank="1" showErrorMessage="1" error="Select closest design speed from list." prompt="Select closest design speed from list." sqref="C4">
      <formula1>ESpeed</formula1>
    </dataValidation>
    <dataValidation type="list" allowBlank="1" showInputMessage="1" showErrorMessage="1" prompt="Select terminal length._x000a_NOTE: TL-3 terminals are at least 37.5 ft long." sqref="M21 E21">
      <formula1>ETerminals</formula1>
    </dataValidation>
    <dataValidation type="list" allowBlank="1" showInputMessage="1" showErrorMessage="1" prompt="Select YES if the guardrail will be connected to a structure (bridge rail, guardwall, etc.)." sqref="C20 K20">
      <formula1>Option</formula1>
    </dataValidation>
    <dataValidation type="list" allowBlank="1" showInputMessage="1" showErrorMessage="1" prompt="Select length of transition system from the list." sqref="C21 K21">
      <formula1>ETransitions</formula1>
    </dataValidation>
    <dataValidation type="list" allowBlank="1" showInputMessage="1" showErrorMessage="1" sqref="C58 K58">
      <formula1>MSpeed</formula1>
    </dataValidation>
    <dataValidation type="list" allowBlank="1" showInputMessage="1" showErrorMessage="1" prompt="Select the closest radius from the list." sqref="E16 M16">
      <formula1>ECurve</formula1>
    </dataValidation>
  </dataValidations>
  <hyperlinks>
    <hyperlink ref="D34" location="Definitions" display="See Definitions"/>
    <hyperlink ref="C2" location="Hints" display="Hints"/>
    <hyperlink ref="L34" location="Definitions" display="See Definitions"/>
  </hyperlinks>
  <pageMargins left="0.75" right="0.75" top="1" bottom="1" header="0.5" footer="0.5"/>
  <pageSetup scale="78" fitToWidth="2" orientation="portrait" r:id="rId1"/>
  <headerFooter alignWithMargins="0"/>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sheetPr>
  <dimension ref="A1:P63"/>
  <sheetViews>
    <sheetView zoomScale="90" zoomScaleNormal="90" workbookViewId="0">
      <selection activeCell="J7" sqref="J7"/>
    </sheetView>
  </sheetViews>
  <sheetFormatPr defaultRowHeight="12.75" x14ac:dyDescent="0.2"/>
  <cols>
    <col min="1" max="1" width="3.7109375" customWidth="1"/>
    <col min="2" max="2" width="20.5703125" customWidth="1"/>
    <col min="3" max="3" width="14.85546875" customWidth="1"/>
    <col min="4" max="4" width="17.140625" customWidth="1"/>
    <col min="6" max="6" width="11" customWidth="1"/>
    <col min="8" max="8" width="7.5703125" customWidth="1"/>
    <col min="9" max="9" width="4.85546875" customWidth="1"/>
    <col min="10" max="10" width="20.140625" customWidth="1"/>
    <col min="11" max="11" width="14.85546875" customWidth="1"/>
    <col min="12" max="12" width="17.140625" customWidth="1"/>
    <col min="13" max="13" width="9.140625" customWidth="1"/>
  </cols>
  <sheetData>
    <row r="1" spans="1:16" x14ac:dyDescent="0.2">
      <c r="A1" s="244" t="s">
        <v>147</v>
      </c>
    </row>
    <row r="2" spans="1:16" ht="16.5" thickBot="1" x14ac:dyDescent="0.3">
      <c r="A2" s="157" t="s">
        <v>114</v>
      </c>
      <c r="C2" s="162" t="s">
        <v>131</v>
      </c>
      <c r="H2" s="21"/>
      <c r="I2" s="21"/>
      <c r="J2" s="21"/>
      <c r="K2" s="21"/>
    </row>
    <row r="3" spans="1:16" x14ac:dyDescent="0.2">
      <c r="B3" s="34" t="s">
        <v>44</v>
      </c>
      <c r="C3" s="33"/>
      <c r="D3" s="21"/>
      <c r="E3" s="35" t="s">
        <v>45</v>
      </c>
      <c r="F3" s="26"/>
      <c r="G3" s="21"/>
      <c r="H3" s="21"/>
      <c r="I3" s="21"/>
      <c r="J3" s="21"/>
      <c r="K3" s="21"/>
      <c r="L3" s="21"/>
      <c r="M3" s="21"/>
    </row>
    <row r="4" spans="1:16" x14ac:dyDescent="0.2">
      <c r="B4" s="31" t="s">
        <v>41</v>
      </c>
      <c r="C4" s="95">
        <v>80</v>
      </c>
      <c r="E4" s="151" t="s">
        <v>33</v>
      </c>
      <c r="F4" s="57">
        <f>VLOOKUP(C4,MShyLine,2)</f>
        <v>2</v>
      </c>
      <c r="G4" s="23" t="s">
        <v>47</v>
      </c>
      <c r="H4" s="21"/>
      <c r="I4" s="99"/>
      <c r="L4" s="21"/>
      <c r="M4" s="21"/>
    </row>
    <row r="5" spans="1:16" ht="13.5" thickBot="1" x14ac:dyDescent="0.25">
      <c r="B5" s="32" t="s">
        <v>54</v>
      </c>
      <c r="C5" s="96">
        <v>2000</v>
      </c>
      <c r="E5" s="151" t="s">
        <v>34</v>
      </c>
      <c r="F5" s="57">
        <f>VLOOKUP(C4,MRunout,IF(C5&lt;=1000,5,IF(C5&lt;=5000,4,IF(C5&lt;=10000,3,2))))</f>
        <v>49</v>
      </c>
      <c r="G5" s="38" t="s">
        <v>46</v>
      </c>
      <c r="H5" s="21"/>
      <c r="I5" s="99"/>
      <c r="L5" s="21"/>
      <c r="M5" s="21"/>
    </row>
    <row r="6" spans="1:16" x14ac:dyDescent="0.2">
      <c r="D6" s="99"/>
      <c r="E6" s="73" t="str">
        <f>IF(C4&gt;=45,"Lc"," ")</f>
        <v>Lc</v>
      </c>
      <c r="F6" s="74">
        <f>IF(C4&gt;=70,IF(C4&lt;=80,VLOOKUP(C5,MClear80,IF(C6='Metric RDG 2011'!E39,3,2)),IF(C4&lt;=90,VLOOKUP(C5,MClear90,IF(C6='Metric RDG 2011'!E39,3,2)),IF(C4&lt;=100,VLOOKUP(C5,MClear100,IF(C6='Metric RDG 2011'!E39,3,2)),IF(C4&lt;=110,VLOOKUP(C5,MClear110,IF(C6='Metric RDG 2011'!E39,3,2))))))," ")</f>
        <v>5.5</v>
      </c>
      <c r="G6" s="178" t="s">
        <v>48</v>
      </c>
      <c r="H6" s="99"/>
      <c r="I6" s="99"/>
      <c r="J6" s="99"/>
      <c r="K6" s="99"/>
      <c r="L6" s="21"/>
      <c r="M6" s="21"/>
    </row>
    <row r="7" spans="1:16" ht="13.5" thickBot="1" x14ac:dyDescent="0.25">
      <c r="D7" s="99"/>
      <c r="E7" s="159" t="str">
        <f>IF(C4&lt;45,"Lc"," ")</f>
        <v xml:space="preserve"> </v>
      </c>
      <c r="F7" s="160" t="str">
        <f>IF(C4&lt;70,IF(C4&lt;=30,VLOOKUP(C5,MClear30,IF(C6='Metric RDG 2011'!E39,3,2)),IF(C4&lt;=50,VLOOKUP(C5,MClear50,IF(C6='Metric RDG 2011'!E39,3,2)),IF(C4&lt;=55,VLOOKUP(C5,MClear55,IF(C6='Metric RDG 2011'!E39,3,2)),IF(C4&lt;=60,VLOOKUP(C5,MClear60,IF(C6='Metric RDG 2011'!E39,3,2))))))," ")</f>
        <v xml:space="preserve"> </v>
      </c>
      <c r="G7" s="179"/>
      <c r="H7" s="21"/>
      <c r="I7" s="21"/>
      <c r="J7" s="21"/>
      <c r="K7" s="21"/>
      <c r="L7" s="21"/>
      <c r="M7" s="21"/>
    </row>
    <row r="8" spans="1:16" x14ac:dyDescent="0.2">
      <c r="D8" s="99"/>
      <c r="H8" s="21"/>
      <c r="I8" s="21"/>
      <c r="J8" s="21"/>
      <c r="K8" s="21"/>
      <c r="L8" s="21"/>
      <c r="M8" s="21"/>
    </row>
    <row r="9" spans="1:16" x14ac:dyDescent="0.2">
      <c r="B9" s="40"/>
      <c r="C9" s="40"/>
      <c r="D9" s="99"/>
      <c r="H9" s="21"/>
      <c r="I9" s="21"/>
      <c r="J9" s="21"/>
      <c r="K9" s="21"/>
      <c r="L9" s="21"/>
      <c r="M9" s="21"/>
    </row>
    <row r="10" spans="1:16" ht="15.75" thickBot="1" x14ac:dyDescent="0.3">
      <c r="A10" s="158" t="s">
        <v>144</v>
      </c>
      <c r="H10" s="21"/>
      <c r="I10" s="158" t="s">
        <v>145</v>
      </c>
    </row>
    <row r="11" spans="1:16" ht="13.5" thickBot="1" x14ac:dyDescent="0.25">
      <c r="B11" s="152" t="s">
        <v>37</v>
      </c>
      <c r="C11" s="101" t="s">
        <v>133</v>
      </c>
      <c r="E11" s="155" t="s">
        <v>38</v>
      </c>
      <c r="F11" s="156">
        <f>MIN(C12,MAX(F6,F7,E18))</f>
        <v>5.5</v>
      </c>
      <c r="H11" s="21"/>
      <c r="J11" s="152" t="s">
        <v>37</v>
      </c>
      <c r="K11" s="101" t="s">
        <v>132</v>
      </c>
      <c r="M11" s="155" t="s">
        <v>38</v>
      </c>
      <c r="N11" s="156">
        <f>MIN(K12,MAX(F6,F7,M18))</f>
        <v>5.5</v>
      </c>
    </row>
    <row r="12" spans="1:16" x14ac:dyDescent="0.2">
      <c r="B12" s="153" t="s">
        <v>142</v>
      </c>
      <c r="C12" s="95">
        <v>12</v>
      </c>
      <c r="E12" s="23" t="s">
        <v>49</v>
      </c>
      <c r="H12" s="21"/>
      <c r="J12" s="153" t="s">
        <v>142</v>
      </c>
      <c r="K12" s="95">
        <v>7</v>
      </c>
      <c r="M12" s="23" t="s">
        <v>49</v>
      </c>
    </row>
    <row r="13" spans="1:16" ht="13.5" thickBot="1" x14ac:dyDescent="0.25">
      <c r="B13" s="154" t="s">
        <v>126</v>
      </c>
      <c r="C13" s="96">
        <v>1.8</v>
      </c>
      <c r="H13" s="21"/>
      <c r="J13" s="154" t="s">
        <v>127</v>
      </c>
      <c r="K13" s="96">
        <v>5</v>
      </c>
    </row>
    <row r="14" spans="1:16" ht="13.5" thickBot="1" x14ac:dyDescent="0.25">
      <c r="H14" s="21"/>
    </row>
    <row r="15" spans="1:16" ht="12.75" customHeight="1" x14ac:dyDescent="0.2">
      <c r="B15" s="41" t="s">
        <v>52</v>
      </c>
      <c r="C15" s="97" t="s">
        <v>64</v>
      </c>
      <c r="D15" s="30" t="s">
        <v>71</v>
      </c>
      <c r="E15" s="101" t="s">
        <v>64</v>
      </c>
      <c r="F15" s="169" t="str">
        <f>IF(E15="Yes","Barrier length may end where Lr intersects the tangential runout path according to RDG Figure 5-48."," ")</f>
        <v xml:space="preserve"> </v>
      </c>
      <c r="G15" s="170"/>
      <c r="H15" s="170"/>
      <c r="J15" s="41" t="s">
        <v>52</v>
      </c>
      <c r="K15" s="97" t="s">
        <v>64</v>
      </c>
      <c r="L15" s="30" t="s">
        <v>71</v>
      </c>
      <c r="M15" s="101" t="s">
        <v>64</v>
      </c>
      <c r="N15" s="169" t="str">
        <f>IF(M15="Yes","Barrier length may end where Lr intersects the tangential runout path according to RDG Figure 5-48."," ")</f>
        <v xml:space="preserve"> </v>
      </c>
      <c r="O15" s="170"/>
      <c r="P15" s="170"/>
    </row>
    <row r="16" spans="1:16" x14ac:dyDescent="0.2">
      <c r="B16" s="58" t="str">
        <f>IF($C$15="Yes","L1, start system flare"," ")</f>
        <v xml:space="preserve"> </v>
      </c>
      <c r="C16" s="98">
        <v>7.6</v>
      </c>
      <c r="D16" s="75" t="str">
        <f>IF(E15="Yes", "Curve Radius (m)"," ")</f>
        <v xml:space="preserve"> </v>
      </c>
      <c r="E16" s="100">
        <v>500</v>
      </c>
      <c r="F16" s="169"/>
      <c r="G16" s="170"/>
      <c r="H16" s="170"/>
      <c r="J16" s="58" t="str">
        <f>IF($K$15="Yes","L1, start system flare"," ")</f>
        <v xml:space="preserve"> </v>
      </c>
      <c r="K16" s="98">
        <v>10</v>
      </c>
      <c r="L16" s="75" t="str">
        <f>IF(M15="Yes", "Curve Radius (m)"," ")</f>
        <v xml:space="preserve"> </v>
      </c>
      <c r="M16" s="100">
        <v>500</v>
      </c>
      <c r="N16" s="169"/>
      <c r="O16" s="170"/>
      <c r="P16" s="170"/>
    </row>
    <row r="17" spans="1:16" x14ac:dyDescent="0.2">
      <c r="B17" s="58" t="str">
        <f>IF($C$15="yes","a"," ")</f>
        <v xml:space="preserve"> </v>
      </c>
      <c r="C17" s="59" t="str">
        <f>IF($C$15="Yes",VLOOKUP(C4,MFlare,IF(C13&lt;F4,2,4))," ")</f>
        <v xml:space="preserve"> </v>
      </c>
      <c r="D17" s="75" t="str">
        <f>IF(E15="Yes","Kcz Factor"," ")</f>
        <v xml:space="preserve"> </v>
      </c>
      <c r="E17" s="102" t="str">
        <f>IF(E15="Yes",IF(C4&gt;=40,VLOOKUP(C4,MCurveCorrection,HLOOKUP(E16,MCurves,2)),1)," ")</f>
        <v xml:space="preserve"> </v>
      </c>
      <c r="F17" s="169"/>
      <c r="G17" s="170"/>
      <c r="H17" s="170"/>
      <c r="J17" s="58" t="str">
        <f>IF($K$15="yes","a"," ")</f>
        <v xml:space="preserve"> </v>
      </c>
      <c r="K17" s="59" t="str">
        <f>IF($K$15="Yes",VLOOKUP(C4,MFlare,IF(K13&lt;F4,2,4))," ")</f>
        <v xml:space="preserve"> </v>
      </c>
      <c r="L17" s="75" t="str">
        <f>IF(M15="Yes","Kcz Factor"," ")</f>
        <v xml:space="preserve"> </v>
      </c>
      <c r="M17" s="102" t="str">
        <f>IF(M15="Yes",IF(C4&gt;=40,VLOOKUP(C4,MCurveCorrection,HLOOKUP(M16,MCurves,2)),1)," ")</f>
        <v xml:space="preserve"> </v>
      </c>
      <c r="N17" s="169"/>
      <c r="O17" s="170"/>
      <c r="P17" s="170"/>
    </row>
    <row r="18" spans="1:16" ht="13.5" thickBot="1" x14ac:dyDescent="0.25">
      <c r="B18" s="60"/>
      <c r="C18" s="61" t="str">
        <f>IF(C15="Yes","of a/b system flare, b=1"," ")</f>
        <v xml:space="preserve"> </v>
      </c>
      <c r="D18" s="76" t="str">
        <f>IF(E15="Yes","Adjusted Lc"," ")</f>
        <v xml:space="preserve"> </v>
      </c>
      <c r="E18" s="103" t="str">
        <f>IF(E15="Yes",IF(C4&gt;=45,F6*E17,F7*E17)," ")</f>
        <v xml:space="preserve"> </v>
      </c>
      <c r="F18" s="169"/>
      <c r="G18" s="170"/>
      <c r="H18" s="170"/>
      <c r="J18" s="60"/>
      <c r="K18" s="61" t="str">
        <f>IF(K15="Yes","of a/b system flare, b=1"," ")</f>
        <v xml:space="preserve"> </v>
      </c>
      <c r="L18" s="76" t="str">
        <f>IF(M15="Yes","Adjusted Lc"," ")</f>
        <v xml:space="preserve"> </v>
      </c>
      <c r="M18" s="103" t="str">
        <f>IF(M15="Yes",IF(C4&gt;=45,F6*M17,F7*M17)," ")</f>
        <v xml:space="preserve"> </v>
      </c>
      <c r="N18" s="169"/>
      <c r="O18" s="170"/>
      <c r="P18" s="170"/>
    </row>
    <row r="19" spans="1:16" ht="13.5" thickBot="1" x14ac:dyDescent="0.25">
      <c r="B19" s="99"/>
      <c r="C19" s="99"/>
      <c r="D19" s="99"/>
      <c r="E19" s="99"/>
      <c r="F19" s="99"/>
      <c r="G19" s="99"/>
      <c r="H19" s="21"/>
      <c r="J19" s="99"/>
      <c r="K19" s="99"/>
      <c r="L19" s="99"/>
      <c r="M19" s="99"/>
      <c r="N19" s="99"/>
      <c r="O19" s="99"/>
    </row>
    <row r="20" spans="1:16" x14ac:dyDescent="0.2">
      <c r="B20" s="77" t="s">
        <v>72</v>
      </c>
      <c r="C20" s="101" t="s">
        <v>63</v>
      </c>
      <c r="D20" s="104" t="s">
        <v>139</v>
      </c>
      <c r="E20" s="33" t="str">
        <f>IF(C4&lt;75,"TL-2","TL-3")</f>
        <v>TL-3</v>
      </c>
      <c r="F20" s="149" t="str">
        <f>IF(E20="TL-2","OK for &lt;=45 mph","OK for &gt;=60 mph")</f>
        <v>OK for &gt;=60 mph</v>
      </c>
      <c r="G20" s="99"/>
      <c r="H20" s="21"/>
      <c r="J20" s="77" t="s">
        <v>72</v>
      </c>
      <c r="K20" s="101" t="s">
        <v>64</v>
      </c>
      <c r="L20" s="104" t="s">
        <v>139</v>
      </c>
      <c r="M20" s="33" t="str">
        <f>IF(C4&lt;75,"TL-2","TL-3")</f>
        <v>TL-3</v>
      </c>
      <c r="N20" s="149" t="str">
        <f>IF(M20="TL-2","OK for &lt;=45 mph","OK for &gt;=60 mph")</f>
        <v>OK for &gt;=60 mph</v>
      </c>
      <c r="O20" s="99"/>
    </row>
    <row r="21" spans="1:16" ht="13.5" thickBot="1" x14ac:dyDescent="0.25">
      <c r="B21" s="105" t="str">
        <f>IF($C$20="yes","Length (m)"," ")</f>
        <v>Length (m)</v>
      </c>
      <c r="C21" s="106">
        <v>13.34</v>
      </c>
      <c r="D21" s="107" t="s">
        <v>143</v>
      </c>
      <c r="E21" s="108">
        <v>12.42</v>
      </c>
      <c r="F21" s="194" t="str">
        <f>IF(AND(E20="TL-3",E21&lt;11.43),"Use OTHER terminal!",IF(E21=12.42,"SBT TL-2 Terminal"," "))</f>
        <v>SBT TL-2 Terminal</v>
      </c>
      <c r="G21" s="195"/>
      <c r="H21" s="21"/>
      <c r="J21" s="105" t="str">
        <f>IF($K$20="yes","Length (m)"," ")</f>
        <v xml:space="preserve"> </v>
      </c>
      <c r="K21" s="106">
        <v>3.81</v>
      </c>
      <c r="L21" s="107" t="s">
        <v>143</v>
      </c>
      <c r="M21" s="108">
        <v>12.42</v>
      </c>
      <c r="N21" s="194" t="str">
        <f>IF(AND(M20="TL-3",M21&lt;11.43),"Use OTHER terminal!",IF(M21=12.42,"SBT TL-2 Terminal"," "))</f>
        <v>SBT TL-2 Terminal</v>
      </c>
      <c r="O21" s="195"/>
    </row>
    <row r="22" spans="1:16" ht="13.5" thickBot="1" x14ac:dyDescent="0.25">
      <c r="B22" s="21"/>
      <c r="C22" s="21"/>
      <c r="D22" s="21"/>
      <c r="E22" s="21"/>
      <c r="F22" s="21"/>
      <c r="G22" s="21"/>
      <c r="H22" s="24"/>
      <c r="J22" s="21"/>
      <c r="K22" s="21"/>
      <c r="L22" s="21"/>
      <c r="M22" s="21"/>
      <c r="N22" s="21"/>
      <c r="O22" s="21"/>
    </row>
    <row r="23" spans="1:16" x14ac:dyDescent="0.2">
      <c r="B23" s="35" t="s">
        <v>50</v>
      </c>
      <c r="C23" s="25"/>
      <c r="D23" s="25"/>
      <c r="E23" s="36"/>
      <c r="F23" s="36"/>
      <c r="G23" s="37"/>
      <c r="H23" s="24"/>
      <c r="J23" s="35" t="s">
        <v>50</v>
      </c>
      <c r="K23" s="25"/>
      <c r="L23" s="25"/>
      <c r="M23" s="36"/>
      <c r="N23" s="36"/>
      <c r="O23" s="37"/>
    </row>
    <row r="24" spans="1:16" x14ac:dyDescent="0.2">
      <c r="B24" s="174" t="s">
        <v>18</v>
      </c>
      <c r="C24" s="10" t="s">
        <v>23</v>
      </c>
      <c r="D24" s="172" t="s">
        <v>39</v>
      </c>
      <c r="E24" s="144">
        <f>IF(C15="Yes"," ",F11-C13)</f>
        <v>3.7</v>
      </c>
      <c r="F24" s="176" t="s">
        <v>39</v>
      </c>
      <c r="G24" s="186">
        <f>IF(C15="Yes"," ",E24/E25)</f>
        <v>32.963636363636368</v>
      </c>
      <c r="H24" s="171" t="str">
        <f>IF(G24&gt;0," ","Only need a terminal.")</f>
        <v xml:space="preserve"> </v>
      </c>
      <c r="J24" s="174" t="s">
        <v>18</v>
      </c>
      <c r="K24" s="10" t="s">
        <v>23</v>
      </c>
      <c r="L24" s="172" t="s">
        <v>39</v>
      </c>
      <c r="M24" s="144">
        <f>IF(K15="Yes"," ",N11-K13)</f>
        <v>0.5</v>
      </c>
      <c r="N24" s="176" t="s">
        <v>39</v>
      </c>
      <c r="O24" s="186">
        <f>IF(K15="Yes"," ",M24/M25)</f>
        <v>4.4545454545454541</v>
      </c>
      <c r="P24" s="171" t="str">
        <f>IF(O24&gt;0," ","Only need a terminal.")</f>
        <v xml:space="preserve"> </v>
      </c>
    </row>
    <row r="25" spans="1:16" ht="13.5" thickBot="1" x14ac:dyDescent="0.25">
      <c r="B25" s="175"/>
      <c r="C25" s="29" t="s">
        <v>24</v>
      </c>
      <c r="D25" s="173"/>
      <c r="E25" s="145">
        <f>IF(C15="Yes"," ",F11/F5)</f>
        <v>0.11224489795918367</v>
      </c>
      <c r="F25" s="177"/>
      <c r="G25" s="187"/>
      <c r="H25" s="171"/>
      <c r="J25" s="175"/>
      <c r="K25" s="29" t="s">
        <v>24</v>
      </c>
      <c r="L25" s="173"/>
      <c r="M25" s="145">
        <f>IF(K15="Yes"," ",N11/F5)</f>
        <v>0.11224489795918367</v>
      </c>
      <c r="N25" s="177"/>
      <c r="O25" s="187"/>
      <c r="P25" s="171"/>
    </row>
    <row r="26" spans="1:16" x14ac:dyDescent="0.2">
      <c r="H26" s="24"/>
    </row>
    <row r="27" spans="1:16" ht="13.5" thickBot="1" x14ac:dyDescent="0.25">
      <c r="H27" s="24"/>
    </row>
    <row r="28" spans="1:16" x14ac:dyDescent="0.2">
      <c r="B28" s="64" t="s">
        <v>51</v>
      </c>
      <c r="C28" s="62"/>
      <c r="D28" s="62"/>
      <c r="E28" s="62"/>
      <c r="F28" s="62"/>
      <c r="G28" s="63"/>
      <c r="H28" s="21"/>
      <c r="J28" s="64" t="s">
        <v>51</v>
      </c>
      <c r="K28" s="62"/>
      <c r="L28" s="62"/>
      <c r="M28" s="62"/>
      <c r="N28" s="62"/>
      <c r="O28" s="63"/>
    </row>
    <row r="29" spans="1:16" x14ac:dyDescent="0.2">
      <c r="B29" s="183" t="s">
        <v>18</v>
      </c>
      <c r="C29" s="146" t="s">
        <v>20</v>
      </c>
      <c r="D29" s="184" t="s">
        <v>39</v>
      </c>
      <c r="E29" s="147" t="str">
        <f>IF(C15="Yes",F11+(C16/C17)-C13," ")</f>
        <v xml:space="preserve"> </v>
      </c>
      <c r="F29" s="184" t="s">
        <v>39</v>
      </c>
      <c r="G29" s="185" t="str">
        <f>IF(C15="Yes",E29/E30," ")</f>
        <v xml:space="preserve"> </v>
      </c>
      <c r="J29" s="183" t="s">
        <v>18</v>
      </c>
      <c r="K29" s="146" t="s">
        <v>20</v>
      </c>
      <c r="L29" s="184" t="s">
        <v>39</v>
      </c>
      <c r="M29" s="147" t="str">
        <f>IF(K15="Yes",N11+(K16/K17)-K13," ")</f>
        <v xml:space="preserve"> </v>
      </c>
      <c r="N29" s="184" t="s">
        <v>39</v>
      </c>
      <c r="O29" s="185" t="str">
        <f>IF(K15="Yes",M29/M30," ")</f>
        <v xml:space="preserve"> </v>
      </c>
    </row>
    <row r="30" spans="1:16" x14ac:dyDescent="0.2">
      <c r="B30" s="183"/>
      <c r="C30" s="65" t="s">
        <v>21</v>
      </c>
      <c r="D30" s="184"/>
      <c r="E30" s="66" t="str">
        <f>IF(C15="Yes",1/C17+(F11/F5)," ")</f>
        <v xml:space="preserve"> </v>
      </c>
      <c r="F30" s="184"/>
      <c r="G30" s="185"/>
      <c r="J30" s="183"/>
      <c r="K30" s="65" t="s">
        <v>21</v>
      </c>
      <c r="L30" s="184"/>
      <c r="M30" s="66" t="str">
        <f>IF(K15="Yes",1/K17+(N11/F5)," ")</f>
        <v xml:space="preserve"> </v>
      </c>
      <c r="N30" s="184"/>
      <c r="O30" s="185"/>
    </row>
    <row r="31" spans="1:16" x14ac:dyDescent="0.2">
      <c r="B31" s="67"/>
      <c r="C31" s="65"/>
      <c r="D31" s="66"/>
      <c r="E31" s="66"/>
      <c r="F31" s="66"/>
      <c r="G31" s="68"/>
      <c r="J31" s="67"/>
      <c r="K31" s="65"/>
      <c r="L31" s="66"/>
      <c r="M31" s="66"/>
      <c r="N31" s="66"/>
      <c r="O31" s="68"/>
    </row>
    <row r="32" spans="1:16" ht="13.5" thickBot="1" x14ac:dyDescent="0.25">
      <c r="A32" s="39"/>
      <c r="B32" s="69" t="s">
        <v>19</v>
      </c>
      <c r="C32" s="70" t="s">
        <v>22</v>
      </c>
      <c r="D32" s="71" t="s">
        <v>39</v>
      </c>
      <c r="E32" s="148" t="str">
        <f>IF(C15="Yes",F11-G29*(F11/F5)," ")</f>
        <v xml:space="preserve"> </v>
      </c>
      <c r="F32" s="71"/>
      <c r="G32" s="72"/>
      <c r="I32" s="39"/>
      <c r="J32" s="69" t="s">
        <v>19</v>
      </c>
      <c r="K32" s="70" t="s">
        <v>22</v>
      </c>
      <c r="L32" s="71" t="s">
        <v>39</v>
      </c>
      <c r="M32" s="148" t="str">
        <f>IF(K15="Yes",N11-O29*(N11/F5)," ")</f>
        <v xml:space="preserve"> </v>
      </c>
      <c r="N32" s="71"/>
      <c r="O32" s="72"/>
    </row>
    <row r="33" spans="1:12" x14ac:dyDescent="0.2">
      <c r="A33" s="39"/>
    </row>
    <row r="34" spans="1:12" x14ac:dyDescent="0.2">
      <c r="A34" s="12"/>
      <c r="D34" s="165" t="s">
        <v>116</v>
      </c>
      <c r="E34" s="165"/>
      <c r="F34" s="165"/>
      <c r="G34" s="165"/>
      <c r="H34" s="165"/>
      <c r="L34" s="165" t="s">
        <v>116</v>
      </c>
    </row>
    <row r="53" spans="1:15" ht="13.5" thickBot="1" x14ac:dyDescent="0.25"/>
    <row r="54" spans="1:15" ht="16.5" thickTop="1" x14ac:dyDescent="0.25">
      <c r="A54" s="12"/>
      <c r="B54" s="180" t="s">
        <v>120</v>
      </c>
      <c r="C54" s="181"/>
      <c r="D54" s="181"/>
      <c r="E54" s="181"/>
      <c r="F54" s="181"/>
      <c r="G54" s="182"/>
      <c r="I54" s="12"/>
      <c r="J54" s="180" t="s">
        <v>121</v>
      </c>
      <c r="K54" s="181"/>
      <c r="L54" s="181"/>
      <c r="M54" s="181"/>
      <c r="N54" s="181"/>
      <c r="O54" s="182"/>
    </row>
    <row r="55" spans="1:15" ht="15.75" x14ac:dyDescent="0.25">
      <c r="A55" s="12"/>
      <c r="B55" s="111"/>
      <c r="C55" s="128"/>
      <c r="D55" s="128"/>
      <c r="E55" s="128"/>
      <c r="F55" s="128"/>
      <c r="G55" s="129"/>
      <c r="I55" s="12"/>
      <c r="J55" s="111"/>
      <c r="K55" s="128"/>
      <c r="L55" s="128"/>
      <c r="M55" s="128"/>
      <c r="N55" s="128"/>
      <c r="O55" s="129"/>
    </row>
    <row r="56" spans="1:15" ht="15" x14ac:dyDescent="0.2">
      <c r="A56" s="12"/>
      <c r="B56" s="112" t="str">
        <f>IF(C20="Yes", "Transition Length", " ")</f>
        <v>Transition Length</v>
      </c>
      <c r="C56" s="113"/>
      <c r="D56" s="126" t="s">
        <v>66</v>
      </c>
      <c r="E56" s="113"/>
      <c r="F56" s="126" t="s">
        <v>70</v>
      </c>
      <c r="G56" s="127"/>
      <c r="I56" s="12"/>
      <c r="J56" s="112" t="str">
        <f>IF(K20="Yes", "Transition Length", " ")</f>
        <v xml:space="preserve"> </v>
      </c>
      <c r="K56" s="113"/>
      <c r="L56" s="126" t="s">
        <v>66</v>
      </c>
      <c r="M56" s="113"/>
      <c r="N56" s="126" t="s">
        <v>70</v>
      </c>
      <c r="O56" s="127"/>
    </row>
    <row r="57" spans="1:15" ht="15.75" x14ac:dyDescent="0.25">
      <c r="A57" s="12"/>
      <c r="B57" s="117">
        <f>IF(C20="No", "0",C21)</f>
        <v>13.34</v>
      </c>
      <c r="C57" s="113"/>
      <c r="D57" s="150">
        <f>E21</f>
        <v>12.42</v>
      </c>
      <c r="E57" s="128"/>
      <c r="F57" s="126" t="s">
        <v>69</v>
      </c>
      <c r="G57" s="109">
        <f>IF(C15="Yes"," ",IF(G24&lt;0," ",ROUNDUP(((G24-$B$57-($D$57-3.81))/3.81),0)*3.81))</f>
        <v>11.43</v>
      </c>
      <c r="I57" s="12"/>
      <c r="J57" s="117" t="str">
        <f>IF(K20="No", "0",K21)</f>
        <v>0</v>
      </c>
      <c r="K57" s="113"/>
      <c r="L57" s="150">
        <f>M21</f>
        <v>12.42</v>
      </c>
      <c r="M57" s="128"/>
      <c r="N57" s="126" t="s">
        <v>69</v>
      </c>
      <c r="O57" s="109">
        <f>IF(K15="Yes"," ",IF(O24&lt;0," ",ROUNDUP(((O24-$J$57-($L$57-3.81))/3.81),0)*3.81))</f>
        <v>-7.62</v>
      </c>
    </row>
    <row r="58" spans="1:15" ht="15.75" thickBot="1" x14ac:dyDescent="0.25">
      <c r="A58" s="12"/>
      <c r="B58" s="114"/>
      <c r="C58" s="115"/>
      <c r="D58" s="116"/>
      <c r="E58" s="115"/>
      <c r="F58" s="115" t="s">
        <v>65</v>
      </c>
      <c r="G58" s="110" t="str">
        <f>IF(C15="Yes",IF(G29&gt;0,ROUNDUP(((G29-$B$57-($D$57-3.81))/3.81),0)*3.81)," ")</f>
        <v xml:space="preserve"> </v>
      </c>
      <c r="I58" s="12"/>
      <c r="J58" s="114"/>
      <c r="K58" s="115"/>
      <c r="L58" s="116"/>
      <c r="M58" s="115"/>
      <c r="N58" s="115" t="s">
        <v>65</v>
      </c>
      <c r="O58" s="110" t="str">
        <f>IF(K15="Yes",IF(O24&gt;0,ROUNDUP(((O29-$J$57-($L$57-12.5))/12.5),0)*12.5)," ")</f>
        <v xml:space="preserve"> </v>
      </c>
    </row>
    <row r="59" spans="1:15" ht="14.25" thickTop="1" thickBot="1" x14ac:dyDescent="0.25"/>
    <row r="60" spans="1:15" ht="16.5" thickTop="1" x14ac:dyDescent="0.25">
      <c r="B60" s="180" t="s">
        <v>125</v>
      </c>
      <c r="C60" s="181"/>
      <c r="D60" s="181"/>
      <c r="E60" s="181"/>
      <c r="F60" s="181"/>
      <c r="G60" s="182"/>
      <c r="J60" s="180" t="s">
        <v>125</v>
      </c>
      <c r="K60" s="181"/>
      <c r="L60" s="181"/>
      <c r="M60" s="181"/>
      <c r="N60" s="181"/>
      <c r="O60" s="182"/>
    </row>
    <row r="61" spans="1:15" x14ac:dyDescent="0.2">
      <c r="B61" s="188" t="s">
        <v>124</v>
      </c>
      <c r="C61" s="189"/>
      <c r="D61" s="189"/>
      <c r="E61" s="189"/>
      <c r="F61" s="189"/>
      <c r="G61" s="190"/>
      <c r="J61" s="188" t="s">
        <v>124</v>
      </c>
      <c r="K61" s="189"/>
      <c r="L61" s="189"/>
      <c r="M61" s="189"/>
      <c r="N61" s="189"/>
      <c r="O61" s="190"/>
    </row>
    <row r="62" spans="1:15" ht="13.5" thickBot="1" x14ac:dyDescent="0.25">
      <c r="B62" s="191"/>
      <c r="C62" s="192"/>
      <c r="D62" s="192"/>
      <c r="E62" s="192"/>
      <c r="F62" s="192"/>
      <c r="G62" s="193"/>
      <c r="J62" s="191"/>
      <c r="K62" s="192"/>
      <c r="L62" s="192"/>
      <c r="M62" s="192"/>
      <c r="N62" s="192"/>
      <c r="O62" s="193"/>
    </row>
    <row r="63" spans="1:15" ht="13.5" thickTop="1" x14ac:dyDescent="0.2"/>
  </sheetData>
  <mergeCells count="29">
    <mergeCell ref="B60:G60"/>
    <mergeCell ref="B61:G62"/>
    <mergeCell ref="J60:O60"/>
    <mergeCell ref="J61:O62"/>
    <mergeCell ref="O29:O30"/>
    <mergeCell ref="B54:G54"/>
    <mergeCell ref="J54:O54"/>
    <mergeCell ref="B29:B30"/>
    <mergeCell ref="D29:D30"/>
    <mergeCell ref="F29:F30"/>
    <mergeCell ref="G29:G30"/>
    <mergeCell ref="J29:J30"/>
    <mergeCell ref="P24:P25"/>
    <mergeCell ref="F21:G21"/>
    <mergeCell ref="N15:P18"/>
    <mergeCell ref="F15:H18"/>
    <mergeCell ref="L29:L30"/>
    <mergeCell ref="N29:N30"/>
    <mergeCell ref="N21:O21"/>
    <mergeCell ref="H24:H25"/>
    <mergeCell ref="J24:J25"/>
    <mergeCell ref="L24:L25"/>
    <mergeCell ref="N24:N25"/>
    <mergeCell ref="O24:O25"/>
    <mergeCell ref="G6:G7"/>
    <mergeCell ref="B24:B25"/>
    <mergeCell ref="D24:D25"/>
    <mergeCell ref="F24:F25"/>
    <mergeCell ref="G24:G25"/>
  </mergeCells>
  <conditionalFormatting sqref="C16">
    <cfRule type="expression" dxfId="12" priority="12" stopIfTrue="1">
      <formula>($C$15="Yes")</formula>
    </cfRule>
  </conditionalFormatting>
  <conditionalFormatting sqref="G57">
    <cfRule type="expression" dxfId="11" priority="11" stopIfTrue="1">
      <formula>($G$57&lt;0)</formula>
    </cfRule>
  </conditionalFormatting>
  <conditionalFormatting sqref="B21 E17:E18 D16:D18">
    <cfRule type="expression" dxfId="10" priority="10" stopIfTrue="1">
      <formula>($E$20="Yes")</formula>
    </cfRule>
  </conditionalFormatting>
  <conditionalFormatting sqref="E16">
    <cfRule type="expression" dxfId="9" priority="9" stopIfTrue="1">
      <formula>($E$15="Yes")</formula>
    </cfRule>
  </conditionalFormatting>
  <conditionalFormatting sqref="C21 B57">
    <cfRule type="expression" dxfId="8" priority="13">
      <formula>($C$20="Yes")</formula>
    </cfRule>
  </conditionalFormatting>
  <conditionalFormatting sqref="K16">
    <cfRule type="expression" dxfId="7" priority="7" stopIfTrue="1">
      <formula>($K$15="Yes")</formula>
    </cfRule>
  </conditionalFormatting>
  <conditionalFormatting sqref="J21 M17:M18 L16:L18">
    <cfRule type="expression" dxfId="6" priority="6" stopIfTrue="1">
      <formula>($K$20="Yes")</formula>
    </cfRule>
  </conditionalFormatting>
  <conditionalFormatting sqref="M16">
    <cfRule type="expression" dxfId="5" priority="5" stopIfTrue="1">
      <formula>(M$15="Yes")</formula>
    </cfRule>
  </conditionalFormatting>
  <conditionalFormatting sqref="K21">
    <cfRule type="expression" dxfId="4" priority="8">
      <formula>($K$20="Yes")</formula>
    </cfRule>
  </conditionalFormatting>
  <conditionalFormatting sqref="O57">
    <cfRule type="expression" dxfId="3" priority="3" stopIfTrue="1">
      <formula>($O$57&lt;0)</formula>
    </cfRule>
  </conditionalFormatting>
  <conditionalFormatting sqref="J57">
    <cfRule type="expression" dxfId="2" priority="4">
      <formula>($C$20="Yes")</formula>
    </cfRule>
  </conditionalFormatting>
  <conditionalFormatting sqref="F21:G21">
    <cfRule type="expression" dxfId="1" priority="2">
      <formula>$F$21</formula>
    </cfRule>
  </conditionalFormatting>
  <conditionalFormatting sqref="N21:O21">
    <cfRule type="expression" dxfId="0" priority="1">
      <formula>$F$21</formula>
    </cfRule>
  </conditionalFormatting>
  <dataValidations count="14">
    <dataValidation type="list" allowBlank="1" showInputMessage="1" showErrorMessage="1" sqref="C58 K58">
      <formula1>MSpeed</formula1>
    </dataValidation>
    <dataValidation type="list" allowBlank="1" showInputMessage="1" showErrorMessage="1" prompt="Select length of transition system from the list." sqref="K21">
      <formula1>MTransition</formula1>
    </dataValidation>
    <dataValidation type="list" allowBlank="1" showInputMessage="1" showErrorMessage="1" prompt="Select YES if the guardrail will be connected to a structure (bridge rail, guardwall, etc.)." sqref="C20 K20">
      <formula1>Option</formula1>
    </dataValidation>
    <dataValidation type="list" allowBlank="1" showInputMessage="1" showErrorMessage="1" prompt="Select terminal length._x000a_NOTE: TL-3 terminals are at least 11.43 m long." sqref="E21 M21">
      <formula1>MTerminal</formula1>
    </dataValidation>
    <dataValidation type="list" allowBlank="1" showInputMessage="1" showErrorMessage="1" prompt="Select the closest radius from the list." sqref="M16 E16">
      <formula1>MCurve</formula1>
    </dataValidation>
    <dataValidation type="list" errorStyle="information" allowBlank="1" showErrorMessage="1" error="Select closest design speed from list." prompt="Select closest design speed from list." sqref="C4">
      <formula1>MSpeed</formula1>
    </dataValidation>
    <dataValidation type="list" allowBlank="1" showInputMessage="1" showErrorMessage="1" prompt="Select closest traffic volume from list." sqref="C5">
      <formula1>ADT</formula1>
    </dataValidation>
    <dataValidation type="list" allowBlank="1" showInputMessage="1" showErrorMessage="1" prompt="Select closest side slope from list." sqref="C11 K11">
      <formula1>FillSlope</formula1>
    </dataValidation>
    <dataValidation allowBlank="1" showInputMessage="1" showErrorMessage="1" prompt="Enter the lateral distance from the edge of the traveled way to the FAR SIDE or BACK of the fixed object or hazard." sqref="C12 K12"/>
    <dataValidation allowBlank="1" showInputMessage="1" showErrorMessage="1" prompt="Enter the offset of the roadside barrier measured from the edge of the traveled way to the front face of the barrier." sqref="C13 K13"/>
    <dataValidation type="list" allowBlank="1" showInputMessage="1" showErrorMessage="1" prompt="Select YES if there will be a system flare." sqref="C15 K15">
      <formula1>Option</formula1>
    </dataValidation>
    <dataValidation type="list" allowBlank="1" showInputMessage="1" showErrorMessage="1" prompt="Select YES if there will be guardrail on the outside of a curve." sqref="E15 M15">
      <formula1>Option</formula1>
    </dataValidation>
    <dataValidation allowBlank="1" showInputMessage="1" showErrorMessage="1" prompt="Enter the tangent length of the barrier measured from the upstream limit of the hazard." sqref="C16 K16"/>
    <dataValidation allowBlank="1" showInputMessage="1" showErrorMessage="1" prompt="Select length of transition system from the list." sqref="C21"/>
  </dataValidations>
  <hyperlinks>
    <hyperlink ref="C2" location="Hints" display="Hints"/>
    <hyperlink ref="D34" location="Definitions" display="See Definitions"/>
    <hyperlink ref="L34" location="Definitions" display="See Definitions"/>
  </hyperlinks>
  <pageMargins left="0.75" right="0.75" top="1" bottom="1" header="0.5" footer="0.5"/>
  <pageSetup scale="82"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B1:O114"/>
  <sheetViews>
    <sheetView zoomScaleNormal="100" zoomScaleSheetLayoutView="90" workbookViewId="0"/>
  </sheetViews>
  <sheetFormatPr defaultRowHeight="12.75" x14ac:dyDescent="0.2"/>
  <cols>
    <col min="1" max="1" width="2.42578125" customWidth="1"/>
    <col min="2" max="2" width="14" customWidth="1"/>
    <col min="3" max="3" width="17.28515625" customWidth="1"/>
    <col min="4" max="4" width="13.5703125" bestFit="1" customWidth="1"/>
    <col min="5" max="5" width="14.140625" bestFit="1" customWidth="1"/>
    <col min="7" max="7" width="12.5703125" customWidth="1"/>
    <col min="8" max="8" width="14.140625" bestFit="1" customWidth="1"/>
    <col min="9" max="9" width="13.5703125" bestFit="1" customWidth="1"/>
    <col min="10" max="10" width="9.5703125" customWidth="1"/>
    <col min="11" max="11" width="10.42578125" customWidth="1"/>
    <col min="18" max="18" width="10.85546875" customWidth="1"/>
  </cols>
  <sheetData>
    <row r="1" spans="2:11" x14ac:dyDescent="0.2">
      <c r="D1" t="s">
        <v>146</v>
      </c>
    </row>
    <row r="2" spans="2:11" x14ac:dyDescent="0.2">
      <c r="B2" s="217" t="s">
        <v>100</v>
      </c>
      <c r="C2" s="218"/>
      <c r="D2" s="49"/>
      <c r="E2" s="16"/>
      <c r="G2" s="210" t="s">
        <v>102</v>
      </c>
      <c r="H2" s="211"/>
      <c r="I2" s="211"/>
      <c r="J2" s="211"/>
      <c r="K2" s="212"/>
    </row>
    <row r="3" spans="2:11" x14ac:dyDescent="0.2">
      <c r="B3" s="219" t="s">
        <v>101</v>
      </c>
      <c r="C3" s="220"/>
      <c r="D3" s="49"/>
      <c r="E3" t="s">
        <v>63</v>
      </c>
      <c r="G3" s="221" t="s">
        <v>103</v>
      </c>
      <c r="H3" s="222"/>
      <c r="I3" s="222"/>
      <c r="J3" s="222"/>
      <c r="K3" s="223"/>
    </row>
    <row r="4" spans="2:11" x14ac:dyDescent="0.2">
      <c r="B4" s="28" t="s">
        <v>0</v>
      </c>
      <c r="C4" s="47" t="s">
        <v>2</v>
      </c>
      <c r="D4" s="49"/>
      <c r="E4" s="38" t="s">
        <v>64</v>
      </c>
      <c r="G4" s="224" t="s">
        <v>0</v>
      </c>
      <c r="H4" s="213" t="s">
        <v>7</v>
      </c>
      <c r="I4" s="213"/>
      <c r="J4" s="213"/>
      <c r="K4" s="213"/>
    </row>
    <row r="5" spans="2:11" x14ac:dyDescent="0.2">
      <c r="B5" s="27" t="s">
        <v>1</v>
      </c>
      <c r="C5" s="44" t="s">
        <v>3</v>
      </c>
      <c r="D5" s="52"/>
      <c r="E5" s="51"/>
      <c r="G5" s="225"/>
      <c r="H5" s="122" t="s">
        <v>76</v>
      </c>
      <c r="I5" s="122" t="s">
        <v>77</v>
      </c>
      <c r="J5" s="122" t="s">
        <v>78</v>
      </c>
      <c r="K5" s="122" t="s">
        <v>79</v>
      </c>
    </row>
    <row r="6" spans="2:11" x14ac:dyDescent="0.2">
      <c r="B6" s="27">
        <v>20</v>
      </c>
      <c r="C6" s="82">
        <v>2.5</v>
      </c>
      <c r="D6" s="52"/>
      <c r="E6" s="51"/>
      <c r="G6" s="1" t="s">
        <v>1</v>
      </c>
      <c r="H6" s="221" t="s">
        <v>8</v>
      </c>
      <c r="I6" s="222"/>
      <c r="J6" s="222"/>
      <c r="K6" s="223"/>
    </row>
    <row r="7" spans="2:11" x14ac:dyDescent="0.2">
      <c r="B7" s="27">
        <v>25</v>
      </c>
      <c r="C7" s="82">
        <v>3</v>
      </c>
      <c r="D7" s="52"/>
      <c r="E7" s="51"/>
      <c r="G7" s="1">
        <v>20</v>
      </c>
      <c r="H7" s="81">
        <v>60</v>
      </c>
      <c r="I7" s="81">
        <v>50</v>
      </c>
      <c r="J7" s="81">
        <v>35</v>
      </c>
      <c r="K7" s="81">
        <v>25</v>
      </c>
    </row>
    <row r="8" spans="2:11" x14ac:dyDescent="0.2">
      <c r="B8" s="46">
        <v>30</v>
      </c>
      <c r="C8" s="45">
        <v>4</v>
      </c>
      <c r="D8" s="52"/>
      <c r="E8" s="51"/>
      <c r="G8" s="1">
        <v>25</v>
      </c>
      <c r="H8" s="81">
        <v>85</v>
      </c>
      <c r="I8" s="81">
        <v>70</v>
      </c>
      <c r="J8" s="81">
        <v>60</v>
      </c>
      <c r="K8" s="81">
        <v>50</v>
      </c>
    </row>
    <row r="9" spans="2:11" x14ac:dyDescent="0.2">
      <c r="B9" s="143">
        <v>35</v>
      </c>
      <c r="C9" s="142">
        <v>4.5</v>
      </c>
      <c r="D9" s="52"/>
      <c r="E9" s="51"/>
      <c r="G9" s="122">
        <v>30</v>
      </c>
      <c r="H9" s="122">
        <v>110</v>
      </c>
      <c r="I9" s="122">
        <v>90</v>
      </c>
      <c r="J9" s="122">
        <v>80</v>
      </c>
      <c r="K9" s="122">
        <v>70</v>
      </c>
    </row>
    <row r="10" spans="2:11" x14ac:dyDescent="0.2">
      <c r="B10" s="46">
        <v>40</v>
      </c>
      <c r="C10" s="45">
        <v>5</v>
      </c>
      <c r="D10" s="52"/>
      <c r="E10" s="51"/>
      <c r="G10" s="125">
        <v>35</v>
      </c>
      <c r="H10" s="125">
        <v>135</v>
      </c>
      <c r="I10" s="125">
        <v>110</v>
      </c>
      <c r="J10" s="125">
        <v>95</v>
      </c>
      <c r="K10" s="125">
        <v>85</v>
      </c>
    </row>
    <row r="11" spans="2:11" x14ac:dyDescent="0.2">
      <c r="B11" s="46">
        <v>45</v>
      </c>
      <c r="C11" s="45">
        <v>6</v>
      </c>
      <c r="D11" s="52"/>
      <c r="E11" s="51"/>
      <c r="G11" s="122">
        <v>40</v>
      </c>
      <c r="H11" s="122">
        <v>160</v>
      </c>
      <c r="I11" s="122">
        <v>130</v>
      </c>
      <c r="J11" s="122">
        <v>110</v>
      </c>
      <c r="K11" s="122">
        <v>100</v>
      </c>
    </row>
    <row r="12" spans="2:11" x14ac:dyDescent="0.2">
      <c r="B12" s="46">
        <v>50</v>
      </c>
      <c r="C12" s="45">
        <v>6.5</v>
      </c>
      <c r="D12" s="52"/>
      <c r="E12" s="51"/>
      <c r="G12" s="125">
        <v>45</v>
      </c>
      <c r="H12" s="81">
        <v>195</v>
      </c>
      <c r="I12" s="81">
        <v>160</v>
      </c>
      <c r="J12" s="81">
        <v>135</v>
      </c>
      <c r="K12" s="81">
        <v>125</v>
      </c>
    </row>
    <row r="13" spans="2:11" x14ac:dyDescent="0.2">
      <c r="B13" s="46">
        <v>55</v>
      </c>
      <c r="C13" s="45">
        <v>7</v>
      </c>
      <c r="D13" s="52"/>
      <c r="E13" s="51"/>
      <c r="G13" s="122">
        <v>50</v>
      </c>
      <c r="H13" s="122">
        <v>230</v>
      </c>
      <c r="I13" s="122">
        <v>190</v>
      </c>
      <c r="J13" s="122">
        <v>160</v>
      </c>
      <c r="K13" s="122">
        <v>150</v>
      </c>
    </row>
    <row r="14" spans="2:11" x14ac:dyDescent="0.2">
      <c r="B14" s="46">
        <v>60</v>
      </c>
      <c r="C14" s="45">
        <v>8</v>
      </c>
      <c r="D14" s="52"/>
      <c r="E14" s="51"/>
      <c r="G14" s="125">
        <v>55</v>
      </c>
      <c r="H14" s="81">
        <v>265</v>
      </c>
      <c r="I14" s="81">
        <v>220</v>
      </c>
      <c r="J14" s="81">
        <v>185</v>
      </c>
      <c r="K14" s="81">
        <v>175</v>
      </c>
    </row>
    <row r="15" spans="2:11" x14ac:dyDescent="0.2">
      <c r="B15" s="46">
        <v>70</v>
      </c>
      <c r="C15" s="45">
        <v>9</v>
      </c>
      <c r="D15" s="52"/>
      <c r="E15" s="51"/>
      <c r="G15" s="122">
        <v>60</v>
      </c>
      <c r="H15" s="122">
        <v>300</v>
      </c>
      <c r="I15" s="122">
        <v>250</v>
      </c>
      <c r="J15" s="122">
        <v>210</v>
      </c>
      <c r="K15" s="122">
        <v>200</v>
      </c>
    </row>
    <row r="16" spans="2:11" x14ac:dyDescent="0.2">
      <c r="B16" s="46">
        <v>75</v>
      </c>
      <c r="C16" s="45">
        <v>10</v>
      </c>
      <c r="D16" s="52"/>
      <c r="E16" s="51"/>
      <c r="G16" s="122">
        <v>70</v>
      </c>
      <c r="H16" s="122">
        <v>360</v>
      </c>
      <c r="I16" s="122">
        <v>330</v>
      </c>
      <c r="J16" s="122">
        <v>290</v>
      </c>
      <c r="K16" s="122">
        <v>250</v>
      </c>
    </row>
    <row r="17" spans="2:13" x14ac:dyDescent="0.2">
      <c r="B17" s="46">
        <v>80</v>
      </c>
      <c r="C17" s="45">
        <v>12</v>
      </c>
    </row>
    <row r="18" spans="2:13" x14ac:dyDescent="0.2">
      <c r="G18" s="22" t="s">
        <v>80</v>
      </c>
    </row>
    <row r="20" spans="2:13" x14ac:dyDescent="0.2">
      <c r="B20" s="226" t="s">
        <v>104</v>
      </c>
      <c r="C20" s="227"/>
      <c r="D20" s="227"/>
      <c r="E20" s="228"/>
    </row>
    <row r="21" spans="2:13" x14ac:dyDescent="0.2">
      <c r="B21" s="214" t="s">
        <v>105</v>
      </c>
      <c r="C21" s="215"/>
      <c r="D21" s="215"/>
      <c r="E21" s="216"/>
      <c r="H21" t="s">
        <v>36</v>
      </c>
      <c r="I21" t="s">
        <v>32</v>
      </c>
      <c r="J21" t="s">
        <v>37</v>
      </c>
      <c r="L21" t="s">
        <v>67</v>
      </c>
      <c r="M21" t="s">
        <v>68</v>
      </c>
    </row>
    <row r="22" spans="2:13" ht="15" customHeight="1" x14ac:dyDescent="0.2">
      <c r="B22" s="234" t="s">
        <v>0</v>
      </c>
      <c r="C22" s="229" t="s">
        <v>5</v>
      </c>
      <c r="D22" s="214" t="s">
        <v>6</v>
      </c>
      <c r="E22" s="216"/>
      <c r="H22">
        <v>20</v>
      </c>
      <c r="I22">
        <v>200</v>
      </c>
      <c r="J22" s="12" t="s">
        <v>132</v>
      </c>
      <c r="L22">
        <v>0</v>
      </c>
      <c r="M22">
        <v>25</v>
      </c>
    </row>
    <row r="23" spans="2:13" x14ac:dyDescent="0.2">
      <c r="B23" s="235"/>
      <c r="C23" s="230"/>
      <c r="D23" s="4" t="s">
        <v>4</v>
      </c>
      <c r="E23" s="7" t="s">
        <v>14</v>
      </c>
      <c r="H23">
        <v>25</v>
      </c>
      <c r="I23">
        <v>300</v>
      </c>
      <c r="J23" s="12" t="s">
        <v>133</v>
      </c>
      <c r="L23">
        <v>9.5</v>
      </c>
      <c r="M23">
        <v>37.5</v>
      </c>
    </row>
    <row r="24" spans="2:13" x14ac:dyDescent="0.2">
      <c r="B24" s="5" t="s">
        <v>1</v>
      </c>
      <c r="C24" s="6" t="s">
        <v>9</v>
      </c>
      <c r="D24" s="6" t="s">
        <v>9</v>
      </c>
      <c r="E24" s="6" t="s">
        <v>9</v>
      </c>
      <c r="H24" s="16">
        <v>30</v>
      </c>
      <c r="I24">
        <v>400</v>
      </c>
      <c r="L24">
        <v>12.5</v>
      </c>
      <c r="M24">
        <v>40.75</v>
      </c>
    </row>
    <row r="25" spans="2:13" x14ac:dyDescent="0.2">
      <c r="B25" s="5">
        <v>20</v>
      </c>
      <c r="C25" s="6">
        <v>7</v>
      </c>
      <c r="D25" s="6">
        <v>7</v>
      </c>
      <c r="E25" s="6">
        <v>6</v>
      </c>
      <c r="H25" s="15">
        <v>35</v>
      </c>
      <c r="I25">
        <v>500</v>
      </c>
      <c r="L25">
        <v>18</v>
      </c>
      <c r="M25">
        <v>50</v>
      </c>
    </row>
    <row r="26" spans="2:13" x14ac:dyDescent="0.2">
      <c r="B26" s="5">
        <v>25</v>
      </c>
      <c r="C26" s="6">
        <v>7</v>
      </c>
      <c r="D26" s="6">
        <v>7</v>
      </c>
      <c r="E26" s="6">
        <v>6</v>
      </c>
      <c r="H26" s="16">
        <v>40</v>
      </c>
      <c r="I26" s="12">
        <v>600</v>
      </c>
      <c r="L26">
        <v>20</v>
      </c>
    </row>
    <row r="27" spans="2:13" x14ac:dyDescent="0.2">
      <c r="B27" s="2">
        <v>30</v>
      </c>
      <c r="C27" s="2">
        <v>13</v>
      </c>
      <c r="D27" s="2">
        <v>8</v>
      </c>
      <c r="E27" s="2">
        <v>7</v>
      </c>
      <c r="H27" s="16">
        <v>45</v>
      </c>
      <c r="I27" s="83">
        <v>750</v>
      </c>
      <c r="L27">
        <v>21</v>
      </c>
    </row>
    <row r="28" spans="2:13" x14ac:dyDescent="0.2">
      <c r="B28" s="2">
        <v>40</v>
      </c>
      <c r="C28" s="2">
        <v>16</v>
      </c>
      <c r="D28" s="2">
        <v>10</v>
      </c>
      <c r="E28" s="2">
        <v>8</v>
      </c>
      <c r="H28" s="17">
        <v>50</v>
      </c>
      <c r="I28" s="84">
        <v>800</v>
      </c>
      <c r="L28">
        <v>25</v>
      </c>
    </row>
    <row r="29" spans="2:13" x14ac:dyDescent="0.2">
      <c r="B29" s="2">
        <v>45</v>
      </c>
      <c r="C29" s="2">
        <v>18</v>
      </c>
      <c r="D29" s="2">
        <v>12</v>
      </c>
      <c r="E29" s="2">
        <v>10</v>
      </c>
      <c r="H29" s="17">
        <v>55</v>
      </c>
      <c r="I29" s="93">
        <v>1000</v>
      </c>
    </row>
    <row r="30" spans="2:13" x14ac:dyDescent="0.2">
      <c r="B30" s="2">
        <v>50</v>
      </c>
      <c r="C30" s="2">
        <v>21</v>
      </c>
      <c r="D30" s="2">
        <v>14</v>
      </c>
      <c r="E30" s="2">
        <v>11</v>
      </c>
      <c r="H30" s="17">
        <v>60</v>
      </c>
      <c r="I30" s="84">
        <v>1500</v>
      </c>
    </row>
    <row r="31" spans="2:13" x14ac:dyDescent="0.2">
      <c r="B31" s="2">
        <v>55</v>
      </c>
      <c r="C31" s="3">
        <v>24</v>
      </c>
      <c r="D31" s="2">
        <v>16</v>
      </c>
      <c r="E31" s="2">
        <v>12</v>
      </c>
      <c r="H31" s="16">
        <v>65</v>
      </c>
      <c r="I31" s="84">
        <v>2000</v>
      </c>
    </row>
    <row r="32" spans="2:13" x14ac:dyDescent="0.2">
      <c r="B32" s="2">
        <v>60</v>
      </c>
      <c r="C32" s="3">
        <v>26</v>
      </c>
      <c r="D32" s="2">
        <v>18</v>
      </c>
      <c r="E32" s="2">
        <v>14</v>
      </c>
      <c r="H32" s="17">
        <v>70</v>
      </c>
      <c r="I32" s="84">
        <v>5000</v>
      </c>
    </row>
    <row r="33" spans="2:9" x14ac:dyDescent="0.2">
      <c r="B33" s="2">
        <v>70</v>
      </c>
      <c r="C33" s="3">
        <v>30</v>
      </c>
      <c r="D33" s="2">
        <v>20</v>
      </c>
      <c r="E33" s="2">
        <v>15</v>
      </c>
      <c r="H33" s="17">
        <v>75</v>
      </c>
      <c r="I33" s="84">
        <v>6000</v>
      </c>
    </row>
    <row r="34" spans="2:9" x14ac:dyDescent="0.2">
      <c r="H34" s="19">
        <v>80</v>
      </c>
      <c r="I34" s="84">
        <v>10000</v>
      </c>
    </row>
    <row r="35" spans="2:9" x14ac:dyDescent="0.2">
      <c r="I35" s="94" t="s">
        <v>81</v>
      </c>
    </row>
    <row r="37" spans="2:9" x14ac:dyDescent="0.2">
      <c r="B37" s="237" t="s">
        <v>106</v>
      </c>
      <c r="C37" s="238"/>
      <c r="D37" s="238"/>
      <c r="E37" s="238"/>
      <c r="F37" s="238"/>
      <c r="G37" s="238"/>
      <c r="H37" s="238"/>
      <c r="I37" s="239"/>
    </row>
    <row r="38" spans="2:9" x14ac:dyDescent="0.2">
      <c r="B38" s="231" t="s">
        <v>107</v>
      </c>
      <c r="C38" s="232"/>
      <c r="D38" s="232"/>
      <c r="E38" s="232"/>
      <c r="F38" s="232"/>
      <c r="G38" s="232"/>
      <c r="H38" s="232"/>
      <c r="I38" s="233"/>
    </row>
    <row r="39" spans="2:9" x14ac:dyDescent="0.2">
      <c r="B39" s="205" t="s">
        <v>0</v>
      </c>
      <c r="C39" s="205" t="s">
        <v>10</v>
      </c>
      <c r="D39" s="236" t="s">
        <v>11</v>
      </c>
      <c r="E39" s="236"/>
      <c r="F39" s="236"/>
      <c r="G39" s="236" t="s">
        <v>12</v>
      </c>
      <c r="H39" s="236"/>
      <c r="I39" s="236"/>
    </row>
    <row r="40" spans="2:9" x14ac:dyDescent="0.2">
      <c r="B40" s="207"/>
      <c r="C40" s="207"/>
      <c r="D40" s="163" t="s">
        <v>133</v>
      </c>
      <c r="E40" s="163" t="s">
        <v>132</v>
      </c>
      <c r="F40" s="164" t="s">
        <v>134</v>
      </c>
      <c r="G40" s="164" t="s">
        <v>134</v>
      </c>
      <c r="H40" s="163" t="s">
        <v>132</v>
      </c>
      <c r="I40" s="163" t="s">
        <v>133</v>
      </c>
    </row>
    <row r="41" spans="2:9" x14ac:dyDescent="0.2">
      <c r="B41" s="202" t="s">
        <v>59</v>
      </c>
      <c r="C41" s="53">
        <v>750</v>
      </c>
      <c r="D41" s="87">
        <v>6</v>
      </c>
      <c r="E41" s="87">
        <v>7</v>
      </c>
      <c r="F41" s="88"/>
      <c r="G41" s="89">
        <v>6</v>
      </c>
      <c r="H41" s="87">
        <v>6</v>
      </c>
      <c r="I41" s="87">
        <v>7</v>
      </c>
    </row>
    <row r="42" spans="2:9" x14ac:dyDescent="0.2">
      <c r="B42" s="203"/>
      <c r="C42" s="53">
        <v>800</v>
      </c>
      <c r="D42" s="87">
        <v>7</v>
      </c>
      <c r="E42" s="87">
        <v>8</v>
      </c>
      <c r="F42" s="88"/>
      <c r="G42" s="89">
        <v>6</v>
      </c>
      <c r="H42" s="87">
        <v>6</v>
      </c>
      <c r="I42" s="87">
        <v>7</v>
      </c>
    </row>
    <row r="43" spans="2:9" x14ac:dyDescent="0.2">
      <c r="B43" s="203"/>
      <c r="C43" s="53">
        <v>1500</v>
      </c>
      <c r="D43" s="87">
        <v>7</v>
      </c>
      <c r="E43" s="87">
        <v>8</v>
      </c>
      <c r="F43" s="88"/>
      <c r="G43" s="89">
        <v>6</v>
      </c>
      <c r="H43" s="87">
        <v>6</v>
      </c>
      <c r="I43" s="87">
        <v>7</v>
      </c>
    </row>
    <row r="44" spans="2:9" x14ac:dyDescent="0.2">
      <c r="B44" s="203"/>
      <c r="C44" s="53">
        <v>2000</v>
      </c>
      <c r="D44" s="87">
        <v>8</v>
      </c>
      <c r="E44" s="87">
        <v>10</v>
      </c>
      <c r="F44" s="88"/>
      <c r="G44" s="89">
        <v>7</v>
      </c>
      <c r="H44" s="87">
        <v>7</v>
      </c>
      <c r="I44" s="87">
        <v>8</v>
      </c>
    </row>
    <row r="45" spans="2:9" x14ac:dyDescent="0.2">
      <c r="B45" s="203"/>
      <c r="C45" s="53">
        <v>6000</v>
      </c>
      <c r="D45" s="87">
        <v>8</v>
      </c>
      <c r="E45" s="87">
        <v>10</v>
      </c>
      <c r="F45" s="88"/>
      <c r="G45" s="89">
        <v>7</v>
      </c>
      <c r="H45" s="87">
        <v>7</v>
      </c>
      <c r="I45" s="87">
        <v>8</v>
      </c>
    </row>
    <row r="46" spans="2:9" x14ac:dyDescent="0.2">
      <c r="B46" s="203"/>
      <c r="C46" s="53">
        <v>10000</v>
      </c>
      <c r="D46" s="87">
        <v>10</v>
      </c>
      <c r="E46" s="87">
        <v>10</v>
      </c>
      <c r="F46" s="88"/>
      <c r="G46" s="89">
        <v>8</v>
      </c>
      <c r="H46" s="87">
        <v>8</v>
      </c>
      <c r="I46" s="87">
        <v>10</v>
      </c>
    </row>
    <row r="47" spans="2:9" x14ac:dyDescent="0.2">
      <c r="B47" s="204"/>
      <c r="C47" s="53" t="s">
        <v>81</v>
      </c>
      <c r="D47" s="87">
        <v>10</v>
      </c>
      <c r="E47" s="87">
        <v>10</v>
      </c>
      <c r="F47" s="88"/>
      <c r="G47" s="89">
        <v>8</v>
      </c>
      <c r="H47" s="87">
        <v>8</v>
      </c>
      <c r="I47" s="87">
        <v>10</v>
      </c>
    </row>
    <row r="48" spans="2:9" x14ac:dyDescent="0.2">
      <c r="B48" s="205" t="s">
        <v>60</v>
      </c>
      <c r="C48" s="8">
        <v>750</v>
      </c>
      <c r="D48" s="90">
        <v>7</v>
      </c>
      <c r="E48" s="90">
        <v>8</v>
      </c>
      <c r="F48" s="91"/>
      <c r="G48" s="92">
        <v>6</v>
      </c>
      <c r="H48" s="90">
        <v>6</v>
      </c>
      <c r="I48" s="90">
        <v>7</v>
      </c>
    </row>
    <row r="49" spans="2:9" x14ac:dyDescent="0.2">
      <c r="B49" s="206"/>
      <c r="C49" s="8">
        <v>800</v>
      </c>
      <c r="D49" s="90">
        <v>8</v>
      </c>
      <c r="E49" s="90">
        <v>10</v>
      </c>
      <c r="F49" s="91"/>
      <c r="G49" s="92">
        <v>7</v>
      </c>
      <c r="H49" s="90">
        <v>7</v>
      </c>
      <c r="I49" s="90">
        <v>8</v>
      </c>
    </row>
    <row r="50" spans="2:9" x14ac:dyDescent="0.2">
      <c r="B50" s="206"/>
      <c r="C50" s="8">
        <v>1500</v>
      </c>
      <c r="D50" s="90">
        <v>8</v>
      </c>
      <c r="E50" s="90">
        <v>10</v>
      </c>
      <c r="F50" s="91"/>
      <c r="G50" s="92">
        <v>7</v>
      </c>
      <c r="H50" s="90">
        <v>7</v>
      </c>
      <c r="I50" s="90">
        <v>8</v>
      </c>
    </row>
    <row r="51" spans="2:9" x14ac:dyDescent="0.2">
      <c r="B51" s="206"/>
      <c r="C51" s="8">
        <v>2000</v>
      </c>
      <c r="D51" s="90">
        <v>10</v>
      </c>
      <c r="E51" s="90">
        <v>10</v>
      </c>
      <c r="F51" s="91"/>
      <c r="G51" s="92">
        <v>8</v>
      </c>
      <c r="H51" s="90">
        <v>8</v>
      </c>
      <c r="I51" s="90">
        <v>10</v>
      </c>
    </row>
    <row r="52" spans="2:9" x14ac:dyDescent="0.2">
      <c r="B52" s="206"/>
      <c r="C52" s="8">
        <v>6000</v>
      </c>
      <c r="D52" s="90">
        <v>10</v>
      </c>
      <c r="E52" s="90">
        <v>10</v>
      </c>
      <c r="F52" s="91"/>
      <c r="G52" s="92">
        <v>8</v>
      </c>
      <c r="H52" s="90">
        <v>8</v>
      </c>
      <c r="I52" s="90">
        <v>10</v>
      </c>
    </row>
    <row r="53" spans="2:9" x14ac:dyDescent="0.2">
      <c r="B53" s="206"/>
      <c r="C53" s="8">
        <v>10000</v>
      </c>
      <c r="D53" s="90">
        <v>10</v>
      </c>
      <c r="E53" s="90">
        <v>12</v>
      </c>
      <c r="F53" s="91"/>
      <c r="G53" s="92">
        <v>10</v>
      </c>
      <c r="H53" s="90">
        <v>10</v>
      </c>
      <c r="I53" s="90">
        <v>10</v>
      </c>
    </row>
    <row r="54" spans="2:9" x14ac:dyDescent="0.2">
      <c r="B54" s="207"/>
      <c r="C54" s="123" t="s">
        <v>81</v>
      </c>
      <c r="D54" s="90">
        <v>10</v>
      </c>
      <c r="E54" s="90">
        <v>12</v>
      </c>
      <c r="F54" s="91"/>
      <c r="G54" s="92">
        <v>10</v>
      </c>
      <c r="H54" s="90">
        <v>10</v>
      </c>
      <c r="I54" s="90">
        <v>10</v>
      </c>
    </row>
    <row r="55" spans="2:9" x14ac:dyDescent="0.2">
      <c r="B55" s="202" t="s">
        <v>61</v>
      </c>
      <c r="C55" s="53">
        <v>750</v>
      </c>
      <c r="D55" s="87">
        <v>8</v>
      </c>
      <c r="E55" s="87">
        <v>10</v>
      </c>
      <c r="F55" s="88"/>
      <c r="G55" s="89">
        <v>7</v>
      </c>
      <c r="H55" s="87">
        <v>7</v>
      </c>
      <c r="I55" s="87">
        <v>8</v>
      </c>
    </row>
    <row r="56" spans="2:9" x14ac:dyDescent="0.2">
      <c r="B56" s="203"/>
      <c r="C56" s="53">
        <v>800</v>
      </c>
      <c r="D56" s="87">
        <v>10</v>
      </c>
      <c r="E56" s="87">
        <v>12</v>
      </c>
      <c r="F56" s="88"/>
      <c r="G56" s="89">
        <v>8</v>
      </c>
      <c r="H56" s="87">
        <v>8</v>
      </c>
      <c r="I56" s="87">
        <v>10</v>
      </c>
    </row>
    <row r="57" spans="2:9" x14ac:dyDescent="0.2">
      <c r="B57" s="203"/>
      <c r="C57" s="53">
        <v>1500</v>
      </c>
      <c r="D57" s="87">
        <v>10</v>
      </c>
      <c r="E57" s="87">
        <v>12</v>
      </c>
      <c r="F57" s="88"/>
      <c r="G57" s="89">
        <v>8</v>
      </c>
      <c r="H57" s="87">
        <v>8</v>
      </c>
      <c r="I57" s="87">
        <v>10</v>
      </c>
    </row>
    <row r="58" spans="2:9" x14ac:dyDescent="0.2">
      <c r="B58" s="203"/>
      <c r="C58" s="53">
        <v>2000</v>
      </c>
      <c r="D58" s="87">
        <v>12</v>
      </c>
      <c r="E58" s="87">
        <v>14</v>
      </c>
      <c r="F58" s="88"/>
      <c r="G58" s="89">
        <v>10</v>
      </c>
      <c r="H58" s="87">
        <v>10</v>
      </c>
      <c r="I58" s="87">
        <v>12</v>
      </c>
    </row>
    <row r="59" spans="2:9" x14ac:dyDescent="0.2">
      <c r="B59" s="203"/>
      <c r="C59" s="53">
        <v>6000</v>
      </c>
      <c r="D59" s="87">
        <v>12</v>
      </c>
      <c r="E59" s="87">
        <v>14</v>
      </c>
      <c r="F59" s="88"/>
      <c r="G59" s="89">
        <v>10</v>
      </c>
      <c r="H59" s="87">
        <v>10</v>
      </c>
      <c r="I59" s="87">
        <v>12</v>
      </c>
    </row>
    <row r="60" spans="2:9" x14ac:dyDescent="0.2">
      <c r="B60" s="203"/>
      <c r="C60" s="53">
        <v>10000</v>
      </c>
      <c r="D60" s="87">
        <v>14</v>
      </c>
      <c r="E60" s="87">
        <v>16</v>
      </c>
      <c r="F60" s="88"/>
      <c r="G60" s="89">
        <v>12</v>
      </c>
      <c r="H60" s="87">
        <v>12</v>
      </c>
      <c r="I60" s="87">
        <v>14</v>
      </c>
    </row>
    <row r="61" spans="2:9" x14ac:dyDescent="0.2">
      <c r="B61" s="204"/>
      <c r="C61" s="53" t="s">
        <v>81</v>
      </c>
      <c r="D61" s="87">
        <v>14</v>
      </c>
      <c r="E61" s="87">
        <v>16</v>
      </c>
      <c r="F61" s="88"/>
      <c r="G61" s="89">
        <v>12</v>
      </c>
      <c r="H61" s="87">
        <v>12</v>
      </c>
      <c r="I61" s="87">
        <v>14</v>
      </c>
    </row>
    <row r="62" spans="2:9" x14ac:dyDescent="0.2">
      <c r="B62" s="205" t="s">
        <v>62</v>
      </c>
      <c r="C62" s="8">
        <v>750</v>
      </c>
      <c r="D62" s="8">
        <v>10</v>
      </c>
      <c r="E62" s="8">
        <v>10</v>
      </c>
      <c r="F62" s="8"/>
      <c r="G62" s="8">
        <v>10</v>
      </c>
      <c r="H62" s="8">
        <v>10</v>
      </c>
      <c r="I62" s="8">
        <v>10</v>
      </c>
    </row>
    <row r="63" spans="2:9" x14ac:dyDescent="0.2">
      <c r="B63" s="206"/>
      <c r="C63" s="8">
        <v>800</v>
      </c>
      <c r="D63" s="8">
        <v>12</v>
      </c>
      <c r="E63" s="8">
        <v>14</v>
      </c>
      <c r="F63" s="8"/>
      <c r="G63" s="8">
        <v>14</v>
      </c>
      <c r="H63" s="79">
        <v>14</v>
      </c>
      <c r="I63" s="79">
        <v>14</v>
      </c>
    </row>
    <row r="64" spans="2:9" x14ac:dyDescent="0.2">
      <c r="B64" s="206"/>
      <c r="C64" s="8">
        <v>1500</v>
      </c>
      <c r="D64" s="8">
        <v>12</v>
      </c>
      <c r="E64" s="8">
        <v>14</v>
      </c>
      <c r="F64" s="8"/>
      <c r="G64" s="8">
        <v>14</v>
      </c>
      <c r="H64" s="79">
        <v>14</v>
      </c>
      <c r="I64" s="79">
        <v>14</v>
      </c>
    </row>
    <row r="65" spans="2:9" x14ac:dyDescent="0.2">
      <c r="B65" s="206"/>
      <c r="C65" s="8">
        <v>2000</v>
      </c>
      <c r="D65" s="8">
        <v>14</v>
      </c>
      <c r="E65" s="8">
        <v>16</v>
      </c>
      <c r="F65" s="8"/>
      <c r="G65" s="8">
        <v>16</v>
      </c>
      <c r="H65" s="79">
        <v>16</v>
      </c>
      <c r="I65" s="79">
        <v>16</v>
      </c>
    </row>
    <row r="66" spans="2:9" x14ac:dyDescent="0.2">
      <c r="B66" s="206"/>
      <c r="C66" s="8">
        <v>6000</v>
      </c>
      <c r="D66" s="8">
        <v>14</v>
      </c>
      <c r="E66" s="8">
        <v>16</v>
      </c>
      <c r="F66" s="8"/>
      <c r="G66" s="8">
        <v>16</v>
      </c>
      <c r="H66" s="79">
        <v>16</v>
      </c>
      <c r="I66" s="79">
        <v>16</v>
      </c>
    </row>
    <row r="67" spans="2:9" x14ac:dyDescent="0.2">
      <c r="B67" s="206"/>
      <c r="C67" s="8">
        <v>10000</v>
      </c>
      <c r="D67" s="8">
        <v>16</v>
      </c>
      <c r="E67" s="8">
        <v>18</v>
      </c>
      <c r="F67" s="8"/>
      <c r="G67" s="8">
        <v>18</v>
      </c>
      <c r="H67" s="79">
        <v>18</v>
      </c>
      <c r="I67" s="79">
        <v>18</v>
      </c>
    </row>
    <row r="68" spans="2:9" x14ac:dyDescent="0.2">
      <c r="B68" s="207"/>
      <c r="C68" s="123" t="s">
        <v>81</v>
      </c>
      <c r="D68" s="123">
        <v>16</v>
      </c>
      <c r="E68" s="123">
        <v>18</v>
      </c>
      <c r="F68" s="123"/>
      <c r="G68" s="123">
        <v>18</v>
      </c>
      <c r="H68" s="123">
        <v>18</v>
      </c>
      <c r="I68" s="123">
        <v>18</v>
      </c>
    </row>
    <row r="69" spans="2:9" x14ac:dyDescent="0.2">
      <c r="B69" s="202" t="s">
        <v>13</v>
      </c>
      <c r="C69" s="53">
        <v>750</v>
      </c>
      <c r="D69" s="53">
        <v>12</v>
      </c>
      <c r="E69" s="53">
        <v>14</v>
      </c>
      <c r="F69" s="53"/>
      <c r="G69" s="53">
        <v>10</v>
      </c>
      <c r="H69" s="53">
        <v>10</v>
      </c>
      <c r="I69" s="53">
        <v>12</v>
      </c>
    </row>
    <row r="70" spans="2:9" x14ac:dyDescent="0.2">
      <c r="B70" s="203"/>
      <c r="C70" s="53">
        <v>800</v>
      </c>
      <c r="D70" s="53">
        <v>16</v>
      </c>
      <c r="E70" s="53">
        <v>20</v>
      </c>
      <c r="F70" s="53"/>
      <c r="G70" s="53">
        <v>12</v>
      </c>
      <c r="H70" s="53">
        <v>14</v>
      </c>
      <c r="I70" s="53">
        <v>16</v>
      </c>
    </row>
    <row r="71" spans="2:9" x14ac:dyDescent="0.2">
      <c r="B71" s="203"/>
      <c r="C71" s="53">
        <v>1500</v>
      </c>
      <c r="D71" s="53">
        <v>16</v>
      </c>
      <c r="E71" s="53">
        <v>20</v>
      </c>
      <c r="F71" s="53"/>
      <c r="G71" s="53">
        <v>12</v>
      </c>
      <c r="H71" s="53">
        <v>14</v>
      </c>
      <c r="I71" s="53">
        <v>16</v>
      </c>
    </row>
    <row r="72" spans="2:9" x14ac:dyDescent="0.2">
      <c r="B72" s="203"/>
      <c r="C72" s="53">
        <v>2000</v>
      </c>
      <c r="D72" s="53">
        <v>18</v>
      </c>
      <c r="E72" s="53">
        <v>26</v>
      </c>
      <c r="F72" s="53"/>
      <c r="G72" s="53">
        <v>14</v>
      </c>
      <c r="H72" s="53">
        <v>16</v>
      </c>
      <c r="I72" s="53">
        <v>18</v>
      </c>
    </row>
    <row r="73" spans="2:9" x14ac:dyDescent="0.2">
      <c r="B73" s="203"/>
      <c r="C73" s="53">
        <v>6000</v>
      </c>
      <c r="D73" s="53">
        <v>18</v>
      </c>
      <c r="E73" s="53">
        <v>26</v>
      </c>
      <c r="F73" s="53"/>
      <c r="G73" s="53">
        <v>14</v>
      </c>
      <c r="H73" s="53">
        <v>16</v>
      </c>
      <c r="I73" s="53">
        <v>18</v>
      </c>
    </row>
    <row r="74" spans="2:9" x14ac:dyDescent="0.2">
      <c r="B74" s="203"/>
      <c r="C74" s="53">
        <v>10000</v>
      </c>
      <c r="D74" s="53">
        <v>22</v>
      </c>
      <c r="E74" s="53">
        <v>28</v>
      </c>
      <c r="F74" s="53"/>
      <c r="G74" s="53">
        <v>16</v>
      </c>
      <c r="H74" s="53">
        <v>20</v>
      </c>
      <c r="I74" s="53">
        <v>22</v>
      </c>
    </row>
    <row r="75" spans="2:9" x14ac:dyDescent="0.2">
      <c r="B75" s="204"/>
      <c r="C75" s="53" t="s">
        <v>81</v>
      </c>
      <c r="D75" s="53">
        <v>22</v>
      </c>
      <c r="E75" s="53">
        <v>28</v>
      </c>
      <c r="F75" s="53"/>
      <c r="G75" s="53">
        <v>16</v>
      </c>
      <c r="H75" s="53">
        <v>20</v>
      </c>
      <c r="I75" s="53">
        <v>22</v>
      </c>
    </row>
    <row r="76" spans="2:9" x14ac:dyDescent="0.2">
      <c r="B76" s="205" t="s">
        <v>15</v>
      </c>
      <c r="C76" s="8">
        <v>750</v>
      </c>
      <c r="D76" s="8">
        <v>14</v>
      </c>
      <c r="E76" s="8">
        <v>18</v>
      </c>
      <c r="F76" s="8"/>
      <c r="G76" s="8">
        <v>10</v>
      </c>
      <c r="H76" s="8">
        <v>12</v>
      </c>
      <c r="I76" s="8">
        <v>12</v>
      </c>
    </row>
    <row r="77" spans="2:9" x14ac:dyDescent="0.2">
      <c r="B77" s="206"/>
      <c r="C77" s="8">
        <v>800</v>
      </c>
      <c r="D77" s="8">
        <v>18</v>
      </c>
      <c r="E77" s="8">
        <v>24</v>
      </c>
      <c r="F77" s="8"/>
      <c r="G77" s="8">
        <v>12</v>
      </c>
      <c r="H77" s="8">
        <v>16</v>
      </c>
      <c r="I77" s="8">
        <v>18</v>
      </c>
    </row>
    <row r="78" spans="2:9" x14ac:dyDescent="0.2">
      <c r="B78" s="206"/>
      <c r="C78" s="8">
        <v>1500</v>
      </c>
      <c r="D78" s="8">
        <v>18</v>
      </c>
      <c r="E78" s="8">
        <v>24</v>
      </c>
      <c r="F78" s="8"/>
      <c r="G78" s="8">
        <v>12</v>
      </c>
      <c r="H78" s="8">
        <v>16</v>
      </c>
      <c r="I78" s="8">
        <v>18</v>
      </c>
    </row>
    <row r="79" spans="2:9" x14ac:dyDescent="0.2">
      <c r="B79" s="206"/>
      <c r="C79" s="8">
        <v>2000</v>
      </c>
      <c r="D79" s="8">
        <v>22</v>
      </c>
      <c r="E79" s="8">
        <v>30</v>
      </c>
      <c r="F79" s="8"/>
      <c r="G79" s="8">
        <v>16</v>
      </c>
      <c r="H79" s="8">
        <v>18</v>
      </c>
      <c r="I79" s="8">
        <v>22</v>
      </c>
    </row>
    <row r="80" spans="2:9" x14ac:dyDescent="0.2">
      <c r="B80" s="206"/>
      <c r="C80" s="8">
        <v>6000</v>
      </c>
      <c r="D80" s="8">
        <v>22</v>
      </c>
      <c r="E80" s="8">
        <v>30</v>
      </c>
      <c r="F80" s="8"/>
      <c r="G80" s="8">
        <v>16</v>
      </c>
      <c r="H80" s="8">
        <v>18</v>
      </c>
      <c r="I80" s="8">
        <v>22</v>
      </c>
    </row>
    <row r="81" spans="2:9" x14ac:dyDescent="0.2">
      <c r="B81" s="206"/>
      <c r="C81" s="8">
        <v>10000</v>
      </c>
      <c r="D81" s="8">
        <v>24</v>
      </c>
      <c r="E81" s="8">
        <v>32</v>
      </c>
      <c r="F81" s="8"/>
      <c r="G81" s="8">
        <v>18</v>
      </c>
      <c r="H81" s="8">
        <v>22</v>
      </c>
      <c r="I81" s="8">
        <v>24</v>
      </c>
    </row>
    <row r="82" spans="2:9" x14ac:dyDescent="0.2">
      <c r="B82" s="207"/>
      <c r="C82" s="123" t="s">
        <v>81</v>
      </c>
      <c r="D82" s="123">
        <v>24</v>
      </c>
      <c r="E82" s="123">
        <v>32</v>
      </c>
      <c r="F82" s="123"/>
      <c r="G82" s="123">
        <v>18</v>
      </c>
      <c r="H82" s="123">
        <v>22</v>
      </c>
      <c r="I82" s="123">
        <v>24</v>
      </c>
    </row>
    <row r="83" spans="2:9" x14ac:dyDescent="0.2">
      <c r="B83" s="202" t="s">
        <v>16</v>
      </c>
      <c r="C83" s="53">
        <v>750</v>
      </c>
      <c r="D83" s="53">
        <v>18</v>
      </c>
      <c r="E83" s="53">
        <v>24</v>
      </c>
      <c r="F83" s="53"/>
      <c r="G83" s="53">
        <v>12</v>
      </c>
      <c r="H83" s="53">
        <v>14</v>
      </c>
      <c r="I83" s="53">
        <v>16</v>
      </c>
    </row>
    <row r="84" spans="2:9" x14ac:dyDescent="0.2">
      <c r="B84" s="203"/>
      <c r="C84" s="53">
        <v>800</v>
      </c>
      <c r="D84" s="53">
        <v>24</v>
      </c>
      <c r="E84" s="53">
        <v>32</v>
      </c>
      <c r="F84" s="53"/>
      <c r="G84" s="53">
        <v>14</v>
      </c>
      <c r="H84" s="53">
        <v>18</v>
      </c>
      <c r="I84" s="53">
        <v>22</v>
      </c>
    </row>
    <row r="85" spans="2:9" x14ac:dyDescent="0.2">
      <c r="B85" s="203"/>
      <c r="C85" s="53">
        <v>1500</v>
      </c>
      <c r="D85" s="53">
        <v>24</v>
      </c>
      <c r="E85" s="53">
        <v>32</v>
      </c>
      <c r="F85" s="53"/>
      <c r="G85" s="53">
        <v>14</v>
      </c>
      <c r="H85" s="53">
        <v>18</v>
      </c>
      <c r="I85" s="53">
        <v>22</v>
      </c>
    </row>
    <row r="86" spans="2:9" x14ac:dyDescent="0.2">
      <c r="B86" s="203"/>
      <c r="C86" s="53">
        <v>2000</v>
      </c>
      <c r="D86" s="53">
        <v>30</v>
      </c>
      <c r="E86" s="53">
        <v>40</v>
      </c>
      <c r="F86" s="53"/>
      <c r="G86" s="53">
        <v>18</v>
      </c>
      <c r="H86" s="53">
        <v>22</v>
      </c>
      <c r="I86" s="53">
        <v>26</v>
      </c>
    </row>
    <row r="87" spans="2:9" x14ac:dyDescent="0.2">
      <c r="B87" s="203"/>
      <c r="C87" s="53">
        <v>6000</v>
      </c>
      <c r="D87" s="53">
        <v>30</v>
      </c>
      <c r="E87" s="53">
        <v>40</v>
      </c>
      <c r="F87" s="53"/>
      <c r="G87" s="53">
        <v>18</v>
      </c>
      <c r="H87" s="53">
        <v>22</v>
      </c>
      <c r="I87" s="53">
        <v>26</v>
      </c>
    </row>
    <row r="88" spans="2:9" x14ac:dyDescent="0.2">
      <c r="B88" s="203"/>
      <c r="C88" s="53">
        <v>10000</v>
      </c>
      <c r="D88" s="53">
        <v>32</v>
      </c>
      <c r="E88" s="53">
        <v>44</v>
      </c>
      <c r="F88" s="53"/>
      <c r="G88" s="53">
        <v>22</v>
      </c>
      <c r="H88" s="53">
        <v>26</v>
      </c>
      <c r="I88" s="53">
        <v>28</v>
      </c>
    </row>
    <row r="89" spans="2:9" x14ac:dyDescent="0.2">
      <c r="B89" s="204"/>
      <c r="C89" s="53" t="s">
        <v>81</v>
      </c>
      <c r="D89" s="53">
        <v>32</v>
      </c>
      <c r="E89" s="53">
        <v>44</v>
      </c>
      <c r="F89" s="53"/>
      <c r="G89" s="53">
        <v>22</v>
      </c>
      <c r="H89" s="53">
        <v>26</v>
      </c>
      <c r="I89" s="53">
        <v>28</v>
      </c>
    </row>
    <row r="90" spans="2:9" x14ac:dyDescent="0.2">
      <c r="B90" s="208" t="s">
        <v>17</v>
      </c>
      <c r="C90" s="8">
        <v>750</v>
      </c>
      <c r="D90" s="8">
        <v>20</v>
      </c>
      <c r="E90" s="8">
        <v>26</v>
      </c>
      <c r="F90" s="8"/>
      <c r="G90" s="8">
        <v>12</v>
      </c>
      <c r="H90" s="8">
        <v>16</v>
      </c>
      <c r="I90" s="8">
        <v>16</v>
      </c>
    </row>
    <row r="91" spans="2:9" x14ac:dyDescent="0.2">
      <c r="B91" s="209"/>
      <c r="C91" s="8">
        <v>800</v>
      </c>
      <c r="D91" s="8">
        <v>26</v>
      </c>
      <c r="E91" s="8">
        <v>36</v>
      </c>
      <c r="F91" s="8"/>
      <c r="G91" s="8">
        <v>16</v>
      </c>
      <c r="H91" s="8">
        <v>20</v>
      </c>
      <c r="I91" s="8">
        <v>22</v>
      </c>
    </row>
    <row r="92" spans="2:9" x14ac:dyDescent="0.2">
      <c r="B92" s="209"/>
      <c r="C92" s="8">
        <v>1500</v>
      </c>
      <c r="D92" s="8">
        <v>26</v>
      </c>
      <c r="E92" s="8">
        <v>36</v>
      </c>
      <c r="F92" s="8"/>
      <c r="G92" s="8">
        <v>16</v>
      </c>
      <c r="H92" s="8">
        <v>20</v>
      </c>
      <c r="I92" s="8">
        <v>22</v>
      </c>
    </row>
    <row r="93" spans="2:9" x14ac:dyDescent="0.2">
      <c r="B93" s="209"/>
      <c r="C93" s="8">
        <v>2000</v>
      </c>
      <c r="D93" s="8">
        <v>32</v>
      </c>
      <c r="E93" s="8">
        <v>42</v>
      </c>
      <c r="F93" s="8"/>
      <c r="G93" s="8">
        <v>20</v>
      </c>
      <c r="H93" s="8">
        <v>24</v>
      </c>
      <c r="I93" s="8">
        <v>28</v>
      </c>
    </row>
    <row r="94" spans="2:9" x14ac:dyDescent="0.2">
      <c r="B94" s="209"/>
      <c r="C94" s="8">
        <v>6000</v>
      </c>
      <c r="D94" s="8">
        <v>32</v>
      </c>
      <c r="E94" s="8">
        <v>42</v>
      </c>
      <c r="F94" s="8"/>
      <c r="G94" s="8">
        <v>20</v>
      </c>
      <c r="H94" s="8">
        <v>24</v>
      </c>
      <c r="I94" s="8">
        <v>28</v>
      </c>
    </row>
    <row r="95" spans="2:9" x14ac:dyDescent="0.2">
      <c r="B95" s="209"/>
      <c r="C95" s="8">
        <v>10000</v>
      </c>
      <c r="D95" s="8">
        <v>34</v>
      </c>
      <c r="E95" s="8">
        <v>46</v>
      </c>
      <c r="F95" s="8"/>
      <c r="G95" s="8">
        <v>24</v>
      </c>
      <c r="H95" s="8">
        <v>30</v>
      </c>
      <c r="I95" s="8">
        <v>30</v>
      </c>
    </row>
    <row r="96" spans="2:9" x14ac:dyDescent="0.2">
      <c r="B96" s="209"/>
      <c r="C96" s="123" t="s">
        <v>81</v>
      </c>
      <c r="D96" s="123">
        <v>34</v>
      </c>
      <c r="E96" s="123">
        <v>46</v>
      </c>
      <c r="F96" s="123"/>
      <c r="G96" s="123">
        <v>24</v>
      </c>
      <c r="H96" s="123">
        <v>30</v>
      </c>
      <c r="I96" s="123">
        <v>30</v>
      </c>
    </row>
    <row r="100" spans="2:15" x14ac:dyDescent="0.2">
      <c r="B100" s="200" t="s">
        <v>108</v>
      </c>
      <c r="C100" s="201"/>
      <c r="D100" s="201"/>
      <c r="E100" s="201"/>
      <c r="F100" s="201"/>
      <c r="G100" s="201"/>
      <c r="H100" s="201"/>
      <c r="I100" s="201"/>
      <c r="J100" s="201"/>
      <c r="K100" s="201"/>
      <c r="L100" s="201"/>
      <c r="M100" s="201"/>
      <c r="N100" s="201"/>
    </row>
    <row r="101" spans="2:15" x14ac:dyDescent="0.2">
      <c r="B101" s="196" t="s">
        <v>113</v>
      </c>
      <c r="C101" s="197"/>
      <c r="D101" s="197"/>
      <c r="E101" s="197"/>
      <c r="F101" s="197"/>
      <c r="G101" s="197"/>
      <c r="H101" s="197"/>
      <c r="I101" s="197"/>
      <c r="J101" s="197"/>
      <c r="K101" s="197"/>
      <c r="L101" s="197"/>
      <c r="M101" s="197"/>
      <c r="N101" s="197"/>
      <c r="O101" s="86"/>
    </row>
    <row r="102" spans="2:15" x14ac:dyDescent="0.2">
      <c r="B102" s="198" t="s">
        <v>43</v>
      </c>
      <c r="C102" s="196" t="s">
        <v>42</v>
      </c>
      <c r="D102" s="197"/>
      <c r="E102" s="197"/>
      <c r="F102" s="197"/>
      <c r="G102" s="197"/>
      <c r="H102" s="197"/>
      <c r="I102" s="197"/>
      <c r="J102" s="197"/>
      <c r="K102" s="197"/>
      <c r="L102" s="197"/>
      <c r="M102" s="197"/>
      <c r="N102" s="197"/>
      <c r="O102" s="86"/>
    </row>
    <row r="103" spans="2:15" x14ac:dyDescent="0.2">
      <c r="B103" s="199"/>
      <c r="C103" s="11">
        <v>330</v>
      </c>
      <c r="D103" s="11">
        <v>495</v>
      </c>
      <c r="E103" s="11">
        <v>660</v>
      </c>
      <c r="F103" s="11">
        <v>820</v>
      </c>
      <c r="G103" s="11">
        <v>985</v>
      </c>
      <c r="H103" s="11">
        <v>1150</v>
      </c>
      <c r="I103" s="11">
        <v>1315</v>
      </c>
      <c r="J103" s="11">
        <v>1475</v>
      </c>
      <c r="K103" s="11">
        <v>1640</v>
      </c>
      <c r="L103" s="11">
        <v>1970</v>
      </c>
      <c r="M103" s="11">
        <v>2300</v>
      </c>
      <c r="N103" s="11">
        <v>2950</v>
      </c>
    </row>
    <row r="104" spans="2:15" x14ac:dyDescent="0.2">
      <c r="B104" s="20"/>
      <c r="C104" s="11">
        <v>2</v>
      </c>
      <c r="D104" s="11">
        <v>3</v>
      </c>
      <c r="E104" s="11">
        <v>4</v>
      </c>
      <c r="F104" s="11">
        <v>5</v>
      </c>
      <c r="G104" s="11">
        <v>6</v>
      </c>
      <c r="H104" s="11">
        <v>7</v>
      </c>
      <c r="I104" s="11">
        <v>8</v>
      </c>
      <c r="J104" s="11">
        <v>9</v>
      </c>
      <c r="K104" s="11">
        <v>10</v>
      </c>
      <c r="L104" s="11">
        <v>11</v>
      </c>
      <c r="M104" s="11">
        <v>12</v>
      </c>
      <c r="N104" s="11">
        <v>13</v>
      </c>
    </row>
    <row r="105" spans="2:15" x14ac:dyDescent="0.2">
      <c r="B105" s="140">
        <v>25</v>
      </c>
      <c r="C105" s="141">
        <v>1.4</v>
      </c>
      <c r="D105" s="141">
        <v>1.3</v>
      </c>
      <c r="E105" s="141">
        <v>1.2</v>
      </c>
      <c r="F105" s="124">
        <v>1.2</v>
      </c>
      <c r="G105" s="141">
        <v>1.2</v>
      </c>
      <c r="H105" s="124">
        <v>1.2</v>
      </c>
      <c r="I105" s="141">
        <v>1.1000000000000001</v>
      </c>
      <c r="J105" s="141">
        <v>1.1000000000000001</v>
      </c>
      <c r="K105" s="141">
        <v>1.1000000000000001</v>
      </c>
      <c r="L105" s="141">
        <v>1.1000000000000001</v>
      </c>
      <c r="M105" s="141">
        <v>1.1000000000000001</v>
      </c>
      <c r="N105" s="141">
        <v>1.1000000000000001</v>
      </c>
    </row>
    <row r="106" spans="2:15" x14ac:dyDescent="0.2">
      <c r="B106" s="140">
        <v>30</v>
      </c>
      <c r="C106" s="141">
        <v>1.4</v>
      </c>
      <c r="D106" s="141">
        <v>1.3</v>
      </c>
      <c r="E106" s="141">
        <v>1.2</v>
      </c>
      <c r="F106" s="124">
        <v>1.2</v>
      </c>
      <c r="G106" s="141">
        <v>1.2</v>
      </c>
      <c r="H106" s="124">
        <v>1.2</v>
      </c>
      <c r="I106" s="141">
        <v>1.2</v>
      </c>
      <c r="J106" s="141">
        <v>1.1000000000000001</v>
      </c>
      <c r="K106" s="141">
        <v>1.1000000000000001</v>
      </c>
      <c r="L106" s="141">
        <v>1.1000000000000001</v>
      </c>
      <c r="M106" s="141">
        <v>1.1000000000000001</v>
      </c>
      <c r="N106" s="141">
        <v>1.1000000000000001</v>
      </c>
    </row>
    <row r="107" spans="2:15" x14ac:dyDescent="0.2">
      <c r="B107" s="140">
        <v>35</v>
      </c>
      <c r="C107" s="141">
        <v>1.5</v>
      </c>
      <c r="D107" s="141">
        <v>1.4</v>
      </c>
      <c r="E107" s="141">
        <v>1.3</v>
      </c>
      <c r="F107" s="124">
        <v>1.2</v>
      </c>
      <c r="G107" s="141">
        <v>1.2</v>
      </c>
      <c r="H107" s="124">
        <v>1.2</v>
      </c>
      <c r="I107" s="141">
        <v>1.2</v>
      </c>
      <c r="J107" s="141">
        <v>1.1000000000000001</v>
      </c>
      <c r="K107" s="141">
        <v>1.1000000000000001</v>
      </c>
      <c r="L107" s="141">
        <v>1.1000000000000001</v>
      </c>
      <c r="M107" s="141">
        <v>1.1000000000000001</v>
      </c>
      <c r="N107" s="141">
        <v>1.1000000000000001</v>
      </c>
    </row>
    <row r="108" spans="2:15" x14ac:dyDescent="0.2">
      <c r="B108" s="11">
        <v>40</v>
      </c>
      <c r="C108" s="11">
        <v>1.5</v>
      </c>
      <c r="D108" s="11">
        <v>1.4</v>
      </c>
      <c r="E108" s="11">
        <v>1.3</v>
      </c>
      <c r="F108" s="11">
        <v>1.3</v>
      </c>
      <c r="G108" s="11">
        <v>1.2</v>
      </c>
      <c r="H108" s="11">
        <v>1.2</v>
      </c>
      <c r="I108" s="11">
        <v>1.2</v>
      </c>
      <c r="J108" s="11">
        <v>1.2</v>
      </c>
      <c r="K108" s="11">
        <v>1.1000000000000001</v>
      </c>
      <c r="L108" s="11">
        <v>1.1000000000000001</v>
      </c>
      <c r="M108" s="11">
        <v>1.1000000000000001</v>
      </c>
      <c r="N108" s="11">
        <v>1.1000000000000001</v>
      </c>
    </row>
    <row r="109" spans="2:15" x14ac:dyDescent="0.2">
      <c r="B109" s="11">
        <v>45</v>
      </c>
      <c r="C109" s="56">
        <v>1.5</v>
      </c>
      <c r="D109" s="11">
        <v>1.5</v>
      </c>
      <c r="E109" s="11">
        <v>1.4</v>
      </c>
      <c r="F109" s="11">
        <v>1.3</v>
      </c>
      <c r="G109" s="11">
        <v>1.3</v>
      </c>
      <c r="H109" s="11">
        <v>1.2</v>
      </c>
      <c r="I109" s="11">
        <v>1.2</v>
      </c>
      <c r="J109" s="11">
        <v>1.2</v>
      </c>
      <c r="K109" s="11">
        <v>1.2</v>
      </c>
      <c r="L109" s="11">
        <v>1.2</v>
      </c>
      <c r="M109" s="11">
        <v>1.1000000000000001</v>
      </c>
      <c r="N109" s="11">
        <v>1.1000000000000001</v>
      </c>
    </row>
    <row r="110" spans="2:15" x14ac:dyDescent="0.2">
      <c r="B110" s="11">
        <v>50</v>
      </c>
      <c r="C110" s="56">
        <v>1.5</v>
      </c>
      <c r="D110" s="56">
        <v>1.5</v>
      </c>
      <c r="E110" s="11">
        <v>1.5</v>
      </c>
      <c r="F110" s="11">
        <v>1.4</v>
      </c>
      <c r="G110" s="11">
        <v>1.4</v>
      </c>
      <c r="H110" s="11">
        <v>1.3</v>
      </c>
      <c r="I110" s="11">
        <v>1.3</v>
      </c>
      <c r="J110" s="11">
        <v>1.3</v>
      </c>
      <c r="K110" s="11">
        <v>1.2</v>
      </c>
      <c r="L110" s="11">
        <v>1.2</v>
      </c>
      <c r="M110" s="11">
        <v>1.2</v>
      </c>
      <c r="N110" s="11">
        <v>1.1000000000000001</v>
      </c>
    </row>
    <row r="111" spans="2:15" x14ac:dyDescent="0.2">
      <c r="B111" s="11">
        <v>55</v>
      </c>
      <c r="C111" s="56">
        <v>1.5</v>
      </c>
      <c r="D111" s="56">
        <v>1.5</v>
      </c>
      <c r="E111" s="56">
        <v>1.5</v>
      </c>
      <c r="F111" s="80">
        <v>1.5</v>
      </c>
      <c r="G111" s="11">
        <v>1.5</v>
      </c>
      <c r="H111" s="11">
        <v>1.4</v>
      </c>
      <c r="I111" s="11">
        <v>1.3</v>
      </c>
      <c r="J111" s="11">
        <v>1.3</v>
      </c>
      <c r="K111" s="11">
        <v>1.3</v>
      </c>
      <c r="L111" s="11">
        <v>1.2</v>
      </c>
      <c r="M111" s="11">
        <v>1.2</v>
      </c>
      <c r="N111" s="11">
        <v>1.2</v>
      </c>
    </row>
    <row r="112" spans="2:15" x14ac:dyDescent="0.2">
      <c r="B112" s="130">
        <v>60</v>
      </c>
      <c r="C112" s="56">
        <v>1.5</v>
      </c>
      <c r="D112" s="56">
        <v>1.5</v>
      </c>
      <c r="E112" s="56">
        <v>1.5</v>
      </c>
      <c r="F112" s="130">
        <v>1.5</v>
      </c>
      <c r="G112" s="130">
        <v>1.5</v>
      </c>
      <c r="H112" s="130">
        <v>1.5</v>
      </c>
      <c r="I112" s="130">
        <v>1.4</v>
      </c>
      <c r="J112" s="130">
        <v>1.4</v>
      </c>
      <c r="K112" s="130">
        <v>1.3</v>
      </c>
      <c r="L112" s="130">
        <v>1.3</v>
      </c>
      <c r="M112" s="130">
        <v>1.2</v>
      </c>
      <c r="N112" s="130">
        <v>1.2</v>
      </c>
    </row>
    <row r="113" spans="2:14" x14ac:dyDescent="0.2">
      <c r="B113" s="11">
        <v>65</v>
      </c>
      <c r="C113" s="56">
        <v>1.5</v>
      </c>
      <c r="D113" s="56">
        <v>1.5</v>
      </c>
      <c r="E113" s="56">
        <v>1.5</v>
      </c>
      <c r="F113" s="56">
        <v>1.5</v>
      </c>
      <c r="G113" s="80">
        <v>1.5</v>
      </c>
      <c r="H113" s="80">
        <v>1.5</v>
      </c>
      <c r="I113" s="80">
        <v>1.4</v>
      </c>
      <c r="J113" s="11">
        <v>1.4</v>
      </c>
      <c r="K113" s="11">
        <v>1.3</v>
      </c>
      <c r="L113" s="11">
        <v>1.3</v>
      </c>
      <c r="M113" s="11">
        <v>1.2</v>
      </c>
      <c r="N113" s="11">
        <v>1.2</v>
      </c>
    </row>
    <row r="114" spans="2:14" x14ac:dyDescent="0.2">
      <c r="B114" s="11">
        <v>70</v>
      </c>
      <c r="C114" s="56">
        <v>1.5</v>
      </c>
      <c r="D114" s="56">
        <v>1.5</v>
      </c>
      <c r="E114" s="56">
        <v>1.5</v>
      </c>
      <c r="F114" s="56">
        <v>1.5</v>
      </c>
      <c r="G114" s="56">
        <v>1.5</v>
      </c>
      <c r="H114" s="56">
        <v>1.5</v>
      </c>
      <c r="I114" s="56">
        <v>1.5</v>
      </c>
      <c r="J114" s="80">
        <v>1.5</v>
      </c>
      <c r="K114" s="11">
        <v>1.4</v>
      </c>
      <c r="L114" s="11">
        <v>1.4</v>
      </c>
      <c r="M114" s="11">
        <v>1.3</v>
      </c>
      <c r="N114" s="11">
        <v>1.2</v>
      </c>
    </row>
  </sheetData>
  <mergeCells count="30">
    <mergeCell ref="C22:C23"/>
    <mergeCell ref="D22:E22"/>
    <mergeCell ref="B38:I38"/>
    <mergeCell ref="C39:C40"/>
    <mergeCell ref="B39:B40"/>
    <mergeCell ref="B22:B23"/>
    <mergeCell ref="D39:F39"/>
    <mergeCell ref="G39:I39"/>
    <mergeCell ref="B37:I37"/>
    <mergeCell ref="G2:K2"/>
    <mergeCell ref="H4:K4"/>
    <mergeCell ref="B21:E21"/>
    <mergeCell ref="B2:C2"/>
    <mergeCell ref="B3:C3"/>
    <mergeCell ref="H6:K6"/>
    <mergeCell ref="G4:G5"/>
    <mergeCell ref="G3:K3"/>
    <mergeCell ref="B20:E20"/>
    <mergeCell ref="C102:N102"/>
    <mergeCell ref="B101:N101"/>
    <mergeCell ref="B102:B103"/>
    <mergeCell ref="B100:N100"/>
    <mergeCell ref="B41:B47"/>
    <mergeCell ref="B48:B54"/>
    <mergeCell ref="B55:B61"/>
    <mergeCell ref="B62:B68"/>
    <mergeCell ref="B69:B75"/>
    <mergeCell ref="B76:B82"/>
    <mergeCell ref="B83:B89"/>
    <mergeCell ref="B90:B96"/>
  </mergeCells>
  <phoneticPr fontId="0" type="noConversion"/>
  <pageMargins left="0.75" right="0.75" top="0.75" bottom="0" header="0.5" footer="0.5"/>
  <pageSetup scale="71" fitToHeight="4" orientation="landscape" r:id="rId1"/>
  <headerFooter alignWithMargins="0"/>
  <rowBreaks count="2" manualBreakCount="2">
    <brk id="36" max="13" man="1"/>
    <brk id="97"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34998626667073579"/>
  </sheetPr>
  <dimension ref="B1:S112"/>
  <sheetViews>
    <sheetView view="pageBreakPreview" zoomScaleNormal="100" zoomScaleSheetLayoutView="100" workbookViewId="0">
      <selection activeCell="G9" sqref="G9"/>
    </sheetView>
  </sheetViews>
  <sheetFormatPr defaultRowHeight="12.75" x14ac:dyDescent="0.2"/>
  <cols>
    <col min="1" max="1" width="2.42578125" customWidth="1"/>
    <col min="2" max="2" width="13.85546875" customWidth="1"/>
    <col min="3" max="3" width="17.28515625" customWidth="1"/>
    <col min="4" max="4" width="13.5703125" bestFit="1" customWidth="1"/>
    <col min="5" max="5" width="14.140625" bestFit="1" customWidth="1"/>
    <col min="7" max="7" width="12.5703125" customWidth="1"/>
    <col min="8" max="8" width="14.140625" bestFit="1" customWidth="1"/>
    <col min="9" max="9" width="13.5703125" bestFit="1" customWidth="1"/>
    <col min="10" max="10" width="11.85546875" customWidth="1"/>
    <col min="11" max="11" width="10.28515625" customWidth="1"/>
    <col min="13" max="13" width="12.28515625" customWidth="1"/>
    <col min="14" max="15" width="10.85546875" customWidth="1"/>
    <col min="18" max="18" width="10.85546875" customWidth="1"/>
  </cols>
  <sheetData>
    <row r="1" spans="2:11" x14ac:dyDescent="0.2">
      <c r="D1" t="s">
        <v>146</v>
      </c>
    </row>
    <row r="2" spans="2:11" x14ac:dyDescent="0.2">
      <c r="B2" s="217" t="s">
        <v>100</v>
      </c>
      <c r="C2" s="241"/>
      <c r="G2" s="210" t="s">
        <v>102</v>
      </c>
      <c r="H2" s="211"/>
      <c r="I2" s="211"/>
      <c r="J2" s="211"/>
      <c r="K2" s="212"/>
    </row>
    <row r="3" spans="2:11" x14ac:dyDescent="0.2">
      <c r="B3" s="219" t="s">
        <v>101</v>
      </c>
      <c r="C3" s="240"/>
      <c r="D3" s="49"/>
      <c r="E3" s="16"/>
      <c r="G3" s="221" t="s">
        <v>103</v>
      </c>
      <c r="H3" s="222"/>
      <c r="I3" s="222"/>
      <c r="J3" s="222"/>
      <c r="K3" s="223"/>
    </row>
    <row r="4" spans="2:11" x14ac:dyDescent="0.2">
      <c r="B4" s="28" t="s">
        <v>0</v>
      </c>
      <c r="C4" s="47" t="s">
        <v>2</v>
      </c>
      <c r="D4" s="50"/>
      <c r="E4" s="16"/>
      <c r="G4" s="224" t="s">
        <v>0</v>
      </c>
      <c r="H4" s="213" t="s">
        <v>7</v>
      </c>
      <c r="I4" s="213"/>
      <c r="J4" s="213"/>
      <c r="K4" s="213"/>
    </row>
    <row r="5" spans="2:11" x14ac:dyDescent="0.2">
      <c r="B5" s="27" t="s">
        <v>25</v>
      </c>
      <c r="C5" s="44" t="s">
        <v>26</v>
      </c>
      <c r="D5" s="50"/>
      <c r="E5" s="16"/>
      <c r="G5" s="225"/>
      <c r="H5" s="122" t="s">
        <v>76</v>
      </c>
      <c r="I5" s="122" t="s">
        <v>77</v>
      </c>
      <c r="J5" s="122" t="s">
        <v>78</v>
      </c>
      <c r="K5" s="122" t="s">
        <v>79</v>
      </c>
    </row>
    <row r="6" spans="2:11" x14ac:dyDescent="0.2">
      <c r="B6" s="44">
        <v>30</v>
      </c>
      <c r="C6" s="82">
        <v>0.76</v>
      </c>
      <c r="D6" s="50"/>
      <c r="E6" s="16"/>
      <c r="G6" s="1" t="s">
        <v>25</v>
      </c>
      <c r="H6" s="221" t="s">
        <v>27</v>
      </c>
      <c r="I6" s="222"/>
      <c r="J6" s="222"/>
      <c r="K6" s="223"/>
    </row>
    <row r="7" spans="2:11" x14ac:dyDescent="0.2">
      <c r="B7" s="44">
        <v>40</v>
      </c>
      <c r="C7" s="82">
        <v>0.91</v>
      </c>
      <c r="D7" s="50"/>
      <c r="E7" s="16"/>
      <c r="G7" s="1">
        <v>30</v>
      </c>
      <c r="H7" s="81">
        <v>18</v>
      </c>
      <c r="I7" s="81">
        <v>15</v>
      </c>
      <c r="J7" s="81">
        <v>11</v>
      </c>
      <c r="K7" s="81">
        <v>8</v>
      </c>
    </row>
    <row r="8" spans="2:11" x14ac:dyDescent="0.2">
      <c r="B8" s="46">
        <v>50</v>
      </c>
      <c r="C8" s="45">
        <v>1.1000000000000001</v>
      </c>
      <c r="D8" s="50"/>
      <c r="E8" s="48"/>
      <c r="G8" s="1">
        <v>40</v>
      </c>
      <c r="H8" s="81">
        <v>26</v>
      </c>
      <c r="I8" s="81">
        <v>21</v>
      </c>
      <c r="J8" s="81">
        <v>18</v>
      </c>
      <c r="K8" s="81">
        <v>15</v>
      </c>
    </row>
    <row r="9" spans="2:11" x14ac:dyDescent="0.2">
      <c r="B9" s="46">
        <v>60</v>
      </c>
      <c r="C9" s="45">
        <v>1.4</v>
      </c>
      <c r="D9" s="50"/>
      <c r="E9" s="48"/>
      <c r="G9" s="122">
        <v>50</v>
      </c>
      <c r="H9" s="122">
        <v>34</v>
      </c>
      <c r="I9" s="122">
        <v>27</v>
      </c>
      <c r="J9" s="122">
        <v>24</v>
      </c>
      <c r="K9" s="122">
        <v>21</v>
      </c>
    </row>
    <row r="10" spans="2:11" x14ac:dyDescent="0.2">
      <c r="B10" s="46">
        <v>70</v>
      </c>
      <c r="C10" s="45">
        <v>1.7</v>
      </c>
      <c r="D10" s="50"/>
      <c r="E10" s="48"/>
      <c r="G10" s="122">
        <v>60</v>
      </c>
      <c r="H10" s="122">
        <v>49</v>
      </c>
      <c r="I10" s="122">
        <v>40</v>
      </c>
      <c r="J10" s="122">
        <v>34</v>
      </c>
      <c r="K10" s="122">
        <v>30</v>
      </c>
    </row>
    <row r="11" spans="2:11" x14ac:dyDescent="0.2">
      <c r="B11" s="46">
        <v>80</v>
      </c>
      <c r="C11" s="45">
        <v>2</v>
      </c>
      <c r="D11" s="50"/>
      <c r="E11" s="48"/>
      <c r="G11" s="125">
        <v>70</v>
      </c>
      <c r="H11" s="81">
        <v>59</v>
      </c>
      <c r="I11" s="81">
        <v>49</v>
      </c>
      <c r="J11" s="81">
        <v>41</v>
      </c>
      <c r="K11" s="81">
        <v>38</v>
      </c>
    </row>
    <row r="12" spans="2:11" x14ac:dyDescent="0.2">
      <c r="B12" s="46">
        <v>90</v>
      </c>
      <c r="C12" s="45">
        <v>2.2000000000000002</v>
      </c>
      <c r="D12" s="50"/>
      <c r="E12" s="48"/>
      <c r="G12" s="122">
        <v>80</v>
      </c>
      <c r="H12" s="122">
        <v>70</v>
      </c>
      <c r="I12" s="122">
        <v>58</v>
      </c>
      <c r="J12" s="122">
        <v>49</v>
      </c>
      <c r="K12" s="122">
        <v>46</v>
      </c>
    </row>
    <row r="13" spans="2:11" x14ac:dyDescent="0.2">
      <c r="B13" s="46">
        <v>100</v>
      </c>
      <c r="C13" s="45">
        <v>2.4</v>
      </c>
      <c r="D13" s="50"/>
      <c r="E13" s="48"/>
      <c r="G13" s="125">
        <v>90</v>
      </c>
      <c r="H13" s="81">
        <v>81</v>
      </c>
      <c r="I13" s="81">
        <v>67</v>
      </c>
      <c r="J13" s="81">
        <v>56</v>
      </c>
      <c r="K13" s="81">
        <v>53</v>
      </c>
    </row>
    <row r="14" spans="2:11" x14ac:dyDescent="0.2">
      <c r="B14" s="46">
        <v>110</v>
      </c>
      <c r="C14" s="45">
        <v>2.8</v>
      </c>
      <c r="D14" s="50"/>
      <c r="E14" s="48"/>
      <c r="G14" s="122">
        <v>100</v>
      </c>
      <c r="H14" s="122">
        <v>91</v>
      </c>
      <c r="I14" s="122">
        <v>76</v>
      </c>
      <c r="J14" s="122">
        <v>64</v>
      </c>
      <c r="K14" s="122">
        <v>61</v>
      </c>
    </row>
    <row r="15" spans="2:11" x14ac:dyDescent="0.2">
      <c r="B15" s="46">
        <v>120</v>
      </c>
      <c r="C15" s="45">
        <v>3.2</v>
      </c>
      <c r="D15" s="50"/>
      <c r="E15" s="48"/>
      <c r="G15" s="122">
        <v>110</v>
      </c>
      <c r="H15" s="122">
        <v>110</v>
      </c>
      <c r="I15" s="122">
        <v>101</v>
      </c>
      <c r="J15" s="122">
        <v>88</v>
      </c>
      <c r="K15" s="122">
        <v>76</v>
      </c>
    </row>
    <row r="16" spans="2:11" x14ac:dyDescent="0.2">
      <c r="B16" s="46">
        <v>130</v>
      </c>
      <c r="C16" s="45">
        <v>3.7</v>
      </c>
      <c r="D16" s="50"/>
      <c r="E16" s="48"/>
    </row>
    <row r="17" spans="2:19" x14ac:dyDescent="0.2">
      <c r="G17" s="22" t="s">
        <v>80</v>
      </c>
    </row>
    <row r="19" spans="2:19" x14ac:dyDescent="0.2">
      <c r="B19" s="226" t="s">
        <v>104</v>
      </c>
      <c r="C19" s="227"/>
      <c r="D19" s="227"/>
      <c r="E19" s="228"/>
      <c r="H19" t="s">
        <v>35</v>
      </c>
      <c r="I19" t="s">
        <v>32</v>
      </c>
      <c r="J19" t="s">
        <v>37</v>
      </c>
      <c r="L19" t="s">
        <v>67</v>
      </c>
      <c r="M19" t="s">
        <v>68</v>
      </c>
    </row>
    <row r="20" spans="2:19" x14ac:dyDescent="0.2">
      <c r="B20" s="214" t="s">
        <v>105</v>
      </c>
      <c r="C20" s="215"/>
      <c r="D20" s="215"/>
      <c r="E20" s="216"/>
      <c r="G20" s="12"/>
      <c r="H20">
        <v>30</v>
      </c>
      <c r="I20">
        <v>200</v>
      </c>
      <c r="J20" s="12" t="s">
        <v>132</v>
      </c>
      <c r="L20">
        <v>0</v>
      </c>
      <c r="M20">
        <v>7.62</v>
      </c>
      <c r="P20" s="12"/>
      <c r="Q20" s="12"/>
      <c r="R20" s="12"/>
      <c r="S20" s="12"/>
    </row>
    <row r="21" spans="2:19" x14ac:dyDescent="0.2">
      <c r="B21" s="234" t="s">
        <v>0</v>
      </c>
      <c r="C21" s="229" t="s">
        <v>5</v>
      </c>
      <c r="D21" s="214" t="s">
        <v>6</v>
      </c>
      <c r="E21" s="216"/>
      <c r="G21" s="15"/>
      <c r="H21">
        <v>40</v>
      </c>
      <c r="I21">
        <v>300</v>
      </c>
      <c r="J21" s="12" t="s">
        <v>133</v>
      </c>
      <c r="L21">
        <v>2.9</v>
      </c>
      <c r="M21">
        <v>11.43</v>
      </c>
      <c r="P21" s="12"/>
      <c r="Q21" s="12"/>
      <c r="R21" s="12"/>
      <c r="S21" s="12"/>
    </row>
    <row r="22" spans="2:19" x14ac:dyDescent="0.2">
      <c r="B22" s="235"/>
      <c r="C22" s="230"/>
      <c r="D22" s="4" t="s">
        <v>4</v>
      </c>
      <c r="E22" s="7" t="s">
        <v>14</v>
      </c>
      <c r="G22" s="15"/>
      <c r="H22" s="16">
        <v>50</v>
      </c>
      <c r="I22">
        <v>400</v>
      </c>
      <c r="L22">
        <v>3.81</v>
      </c>
      <c r="M22">
        <v>12.42</v>
      </c>
      <c r="P22" s="12"/>
      <c r="Q22" s="12"/>
      <c r="R22" s="12"/>
      <c r="S22" s="12"/>
    </row>
    <row r="23" spans="2:19" x14ac:dyDescent="0.2">
      <c r="B23" s="5" t="s">
        <v>25</v>
      </c>
      <c r="C23" s="6" t="s">
        <v>9</v>
      </c>
      <c r="D23" s="6" t="s">
        <v>9</v>
      </c>
      <c r="E23" s="6" t="s">
        <v>9</v>
      </c>
      <c r="G23" s="13"/>
      <c r="H23" s="16">
        <v>60</v>
      </c>
      <c r="I23">
        <v>500</v>
      </c>
      <c r="L23">
        <v>5.49</v>
      </c>
      <c r="M23">
        <v>15.24</v>
      </c>
      <c r="P23" s="12"/>
      <c r="Q23" s="12"/>
      <c r="R23" s="12"/>
      <c r="S23" s="12"/>
    </row>
    <row r="24" spans="2:19" x14ac:dyDescent="0.2">
      <c r="B24" s="5">
        <v>30</v>
      </c>
      <c r="C24" s="85">
        <v>7</v>
      </c>
      <c r="D24" s="85">
        <v>7</v>
      </c>
      <c r="E24" s="85">
        <v>6</v>
      </c>
      <c r="G24" s="13"/>
      <c r="H24" s="16">
        <v>70</v>
      </c>
      <c r="I24" s="12">
        <v>600</v>
      </c>
      <c r="L24">
        <v>6.1</v>
      </c>
      <c r="P24" s="12"/>
      <c r="Q24" s="12"/>
      <c r="R24" s="12"/>
      <c r="S24" s="12"/>
    </row>
    <row r="25" spans="2:19" x14ac:dyDescent="0.2">
      <c r="B25" s="5">
        <v>40</v>
      </c>
      <c r="C25" s="85">
        <v>7</v>
      </c>
      <c r="D25" s="85">
        <v>7</v>
      </c>
      <c r="E25" s="85">
        <v>6</v>
      </c>
      <c r="G25" s="13"/>
      <c r="H25" s="16">
        <v>80</v>
      </c>
      <c r="I25" s="83">
        <v>750</v>
      </c>
      <c r="L25">
        <v>6.7</v>
      </c>
      <c r="P25" s="12"/>
      <c r="Q25" s="12"/>
      <c r="R25" s="12"/>
      <c r="S25" s="12"/>
    </row>
    <row r="26" spans="2:19" x14ac:dyDescent="0.2">
      <c r="B26" s="2">
        <v>50</v>
      </c>
      <c r="C26" s="2">
        <v>13</v>
      </c>
      <c r="D26" s="2">
        <v>8</v>
      </c>
      <c r="E26" s="2">
        <v>7</v>
      </c>
      <c r="G26" s="14"/>
      <c r="H26" s="16">
        <v>90</v>
      </c>
      <c r="I26" s="84">
        <v>800</v>
      </c>
      <c r="L26">
        <v>7.62</v>
      </c>
      <c r="P26" s="12"/>
      <c r="Q26" s="12"/>
      <c r="R26" s="12"/>
      <c r="S26" s="12"/>
    </row>
    <row r="27" spans="2:19" x14ac:dyDescent="0.2">
      <c r="B27" s="2">
        <v>60</v>
      </c>
      <c r="C27" s="2">
        <v>16</v>
      </c>
      <c r="D27" s="2">
        <v>10</v>
      </c>
      <c r="E27" s="2">
        <v>8</v>
      </c>
      <c r="G27" s="14"/>
      <c r="H27" s="15">
        <v>100</v>
      </c>
      <c r="I27" s="93">
        <v>1000</v>
      </c>
      <c r="P27" s="12"/>
      <c r="Q27" s="12"/>
      <c r="R27" s="12"/>
      <c r="S27" s="12"/>
    </row>
    <row r="28" spans="2:19" x14ac:dyDescent="0.2">
      <c r="B28" s="2">
        <v>70</v>
      </c>
      <c r="C28" s="3">
        <v>18</v>
      </c>
      <c r="D28" s="2">
        <v>12</v>
      </c>
      <c r="E28" s="2">
        <v>10</v>
      </c>
      <c r="G28" s="14"/>
      <c r="H28" s="16">
        <v>110</v>
      </c>
      <c r="I28" s="84">
        <v>1500</v>
      </c>
      <c r="P28" s="12"/>
      <c r="Q28" s="12"/>
      <c r="R28" s="12"/>
      <c r="S28" s="12"/>
    </row>
    <row r="29" spans="2:19" x14ac:dyDescent="0.2">
      <c r="B29" s="2">
        <v>80</v>
      </c>
      <c r="C29" s="2">
        <v>21</v>
      </c>
      <c r="D29" s="2">
        <v>14</v>
      </c>
      <c r="E29" s="2">
        <v>11</v>
      </c>
      <c r="G29" s="14"/>
      <c r="H29" s="16">
        <v>120</v>
      </c>
      <c r="I29" s="84">
        <v>2000</v>
      </c>
      <c r="P29" s="12"/>
      <c r="Q29" s="12"/>
      <c r="R29" s="12"/>
      <c r="S29" s="12"/>
    </row>
    <row r="30" spans="2:19" x14ac:dyDescent="0.2">
      <c r="B30" s="2">
        <v>90</v>
      </c>
      <c r="C30" s="2">
        <v>24</v>
      </c>
      <c r="D30" s="2">
        <v>16</v>
      </c>
      <c r="E30" s="2">
        <v>12</v>
      </c>
      <c r="G30" s="14"/>
      <c r="H30" s="16">
        <v>130</v>
      </c>
      <c r="I30" s="84">
        <v>5000</v>
      </c>
      <c r="P30" s="12"/>
      <c r="Q30" s="12"/>
      <c r="R30" s="12"/>
      <c r="S30" s="12"/>
    </row>
    <row r="31" spans="2:19" x14ac:dyDescent="0.2">
      <c r="B31" s="2">
        <v>100</v>
      </c>
      <c r="C31" s="2">
        <v>26</v>
      </c>
      <c r="D31" s="2">
        <v>18</v>
      </c>
      <c r="E31" s="2">
        <v>14</v>
      </c>
      <c r="G31" s="14"/>
      <c r="H31" s="14"/>
      <c r="I31" s="84">
        <v>6000</v>
      </c>
      <c r="J31" s="17"/>
      <c r="P31" s="12"/>
      <c r="Q31" s="12"/>
      <c r="R31" s="12"/>
      <c r="S31" s="12"/>
    </row>
    <row r="32" spans="2:19" x14ac:dyDescent="0.2">
      <c r="B32" s="2">
        <v>110</v>
      </c>
      <c r="C32" s="3">
        <v>30</v>
      </c>
      <c r="D32" s="2">
        <v>20</v>
      </c>
      <c r="E32" s="2">
        <v>15</v>
      </c>
      <c r="I32" s="84">
        <v>10000</v>
      </c>
      <c r="J32" s="17"/>
    </row>
    <row r="33" spans="2:10" x14ac:dyDescent="0.2">
      <c r="I33" s="94" t="s">
        <v>81</v>
      </c>
      <c r="J33" s="19"/>
    </row>
    <row r="36" spans="2:10" x14ac:dyDescent="0.2">
      <c r="B36" s="237" t="s">
        <v>109</v>
      </c>
      <c r="C36" s="238"/>
      <c r="D36" s="238"/>
      <c r="E36" s="238"/>
      <c r="F36" s="238"/>
      <c r="G36" s="238"/>
      <c r="H36" s="238"/>
      <c r="I36" s="239"/>
    </row>
    <row r="37" spans="2:10" x14ac:dyDescent="0.2">
      <c r="B37" s="231" t="s">
        <v>107</v>
      </c>
      <c r="C37" s="232"/>
      <c r="D37" s="232"/>
      <c r="E37" s="232"/>
      <c r="F37" s="232"/>
      <c r="G37" s="232"/>
      <c r="H37" s="232"/>
      <c r="I37" s="233"/>
    </row>
    <row r="38" spans="2:10" x14ac:dyDescent="0.2">
      <c r="B38" s="205" t="s">
        <v>0</v>
      </c>
      <c r="C38" s="205" t="s">
        <v>10</v>
      </c>
      <c r="D38" s="236" t="s">
        <v>11</v>
      </c>
      <c r="E38" s="236"/>
      <c r="F38" s="236"/>
      <c r="G38" s="236" t="s">
        <v>12</v>
      </c>
      <c r="H38" s="236"/>
      <c r="I38" s="236"/>
    </row>
    <row r="39" spans="2:10" x14ac:dyDescent="0.2">
      <c r="B39" s="207"/>
      <c r="C39" s="207"/>
      <c r="D39" s="163" t="s">
        <v>133</v>
      </c>
      <c r="E39" s="163" t="s">
        <v>132</v>
      </c>
      <c r="F39" s="164" t="s">
        <v>134</v>
      </c>
      <c r="G39" s="164" t="s">
        <v>134</v>
      </c>
      <c r="H39" s="163" t="s">
        <v>132</v>
      </c>
      <c r="I39" s="163" t="s">
        <v>133</v>
      </c>
    </row>
    <row r="40" spans="2:10" x14ac:dyDescent="0.2">
      <c r="B40" s="202" t="s">
        <v>55</v>
      </c>
      <c r="C40" s="53">
        <v>750</v>
      </c>
      <c r="D40" s="53">
        <v>2</v>
      </c>
      <c r="E40" s="53">
        <v>2</v>
      </c>
      <c r="F40" s="54"/>
      <c r="G40" s="55">
        <v>2</v>
      </c>
      <c r="H40" s="53">
        <v>2</v>
      </c>
      <c r="I40" s="53">
        <v>2</v>
      </c>
    </row>
    <row r="41" spans="2:10" x14ac:dyDescent="0.2">
      <c r="B41" s="203"/>
      <c r="C41" s="53">
        <v>800</v>
      </c>
      <c r="D41" s="53">
        <v>2</v>
      </c>
      <c r="E41" s="53">
        <v>2.5</v>
      </c>
      <c r="F41" s="54"/>
      <c r="G41" s="55">
        <v>2</v>
      </c>
      <c r="H41" s="53">
        <v>2</v>
      </c>
      <c r="I41" s="53">
        <v>2</v>
      </c>
    </row>
    <row r="42" spans="2:10" x14ac:dyDescent="0.2">
      <c r="B42" s="203"/>
      <c r="C42" s="53">
        <v>1500</v>
      </c>
      <c r="D42" s="53">
        <v>2</v>
      </c>
      <c r="E42" s="53">
        <v>2.5</v>
      </c>
      <c r="F42" s="54"/>
      <c r="G42" s="55">
        <v>2</v>
      </c>
      <c r="H42" s="53">
        <v>2</v>
      </c>
      <c r="I42" s="53">
        <v>2</v>
      </c>
    </row>
    <row r="43" spans="2:10" x14ac:dyDescent="0.2">
      <c r="B43" s="203"/>
      <c r="C43" s="53">
        <v>2000</v>
      </c>
      <c r="D43" s="53">
        <v>2.5</v>
      </c>
      <c r="E43" s="53">
        <v>3</v>
      </c>
      <c r="F43" s="54"/>
      <c r="G43" s="55">
        <v>2</v>
      </c>
      <c r="H43" s="53">
        <v>2</v>
      </c>
      <c r="I43" s="53">
        <v>2.5</v>
      </c>
    </row>
    <row r="44" spans="2:10" x14ac:dyDescent="0.2">
      <c r="B44" s="203"/>
      <c r="C44" s="53">
        <v>6000</v>
      </c>
      <c r="D44" s="53">
        <v>2.5</v>
      </c>
      <c r="E44" s="53">
        <v>3</v>
      </c>
      <c r="F44" s="54"/>
      <c r="G44" s="55">
        <v>2</v>
      </c>
      <c r="H44" s="53">
        <v>2</v>
      </c>
      <c r="I44" s="53">
        <v>2.5</v>
      </c>
    </row>
    <row r="45" spans="2:10" x14ac:dyDescent="0.2">
      <c r="B45" s="203"/>
      <c r="C45" s="53">
        <v>10000</v>
      </c>
      <c r="D45" s="53">
        <v>3</v>
      </c>
      <c r="E45" s="53">
        <v>3</v>
      </c>
      <c r="F45" s="54"/>
      <c r="G45" s="55">
        <v>2.5</v>
      </c>
      <c r="H45" s="53">
        <v>2.5</v>
      </c>
      <c r="I45" s="53">
        <v>3</v>
      </c>
    </row>
    <row r="46" spans="2:10" x14ac:dyDescent="0.2">
      <c r="B46" s="204"/>
      <c r="C46" s="53" t="s">
        <v>81</v>
      </c>
      <c r="D46" s="53">
        <v>3</v>
      </c>
      <c r="E46" s="53">
        <v>3</v>
      </c>
      <c r="F46" s="54"/>
      <c r="G46" s="55">
        <v>2.5</v>
      </c>
      <c r="H46" s="53">
        <v>2.5</v>
      </c>
      <c r="I46" s="53">
        <v>3</v>
      </c>
    </row>
    <row r="47" spans="2:10" x14ac:dyDescent="0.2">
      <c r="B47" s="205" t="s">
        <v>56</v>
      </c>
      <c r="C47" s="8">
        <v>750</v>
      </c>
      <c r="D47" s="8">
        <v>2</v>
      </c>
      <c r="E47" s="8">
        <v>2.5</v>
      </c>
      <c r="F47" s="9"/>
      <c r="G47" s="18">
        <v>2</v>
      </c>
      <c r="H47" s="8">
        <v>2</v>
      </c>
      <c r="I47" s="8">
        <v>2</v>
      </c>
    </row>
    <row r="48" spans="2:10" x14ac:dyDescent="0.2">
      <c r="B48" s="206"/>
      <c r="C48" s="8">
        <v>800</v>
      </c>
      <c r="D48" s="8">
        <v>2.5</v>
      </c>
      <c r="E48" s="8">
        <v>3</v>
      </c>
      <c r="F48" s="9"/>
      <c r="G48" s="18">
        <v>2</v>
      </c>
      <c r="H48" s="8">
        <v>2</v>
      </c>
      <c r="I48" s="8">
        <v>2.5</v>
      </c>
    </row>
    <row r="49" spans="2:9" x14ac:dyDescent="0.2">
      <c r="B49" s="206"/>
      <c r="C49" s="8">
        <v>1500</v>
      </c>
      <c r="D49" s="8">
        <v>2.5</v>
      </c>
      <c r="E49" s="8">
        <v>3</v>
      </c>
      <c r="F49" s="9"/>
      <c r="G49" s="18">
        <v>2</v>
      </c>
      <c r="H49" s="8">
        <v>2</v>
      </c>
      <c r="I49" s="8">
        <v>2.5</v>
      </c>
    </row>
    <row r="50" spans="2:9" x14ac:dyDescent="0.2">
      <c r="B50" s="206"/>
      <c r="C50" s="8">
        <v>2000</v>
      </c>
      <c r="D50" s="8">
        <v>3</v>
      </c>
      <c r="E50" s="8">
        <v>3</v>
      </c>
      <c r="F50" s="9"/>
      <c r="G50" s="18">
        <v>2.5</v>
      </c>
      <c r="H50" s="8">
        <v>2.5</v>
      </c>
      <c r="I50" s="8">
        <v>3</v>
      </c>
    </row>
    <row r="51" spans="2:9" x14ac:dyDescent="0.2">
      <c r="B51" s="206"/>
      <c r="C51" s="8">
        <v>6000</v>
      </c>
      <c r="D51" s="8">
        <v>3</v>
      </c>
      <c r="E51" s="8">
        <v>3</v>
      </c>
      <c r="F51" s="9"/>
      <c r="G51" s="18">
        <v>2.5</v>
      </c>
      <c r="H51" s="8">
        <v>2.5</v>
      </c>
      <c r="I51" s="8">
        <v>3</v>
      </c>
    </row>
    <row r="52" spans="2:9" x14ac:dyDescent="0.2">
      <c r="B52" s="206"/>
      <c r="C52" s="8">
        <v>10000</v>
      </c>
      <c r="D52" s="8">
        <v>3</v>
      </c>
      <c r="E52" s="8">
        <v>3.5</v>
      </c>
      <c r="F52" s="9"/>
      <c r="G52" s="18">
        <v>3</v>
      </c>
      <c r="H52" s="8">
        <v>3</v>
      </c>
      <c r="I52" s="8">
        <v>3</v>
      </c>
    </row>
    <row r="53" spans="2:9" x14ac:dyDescent="0.2">
      <c r="B53" s="207"/>
      <c r="C53" s="123" t="s">
        <v>81</v>
      </c>
      <c r="D53" s="123">
        <v>3</v>
      </c>
      <c r="E53" s="123">
        <v>3.5</v>
      </c>
      <c r="F53" s="9"/>
      <c r="G53" s="18">
        <v>3</v>
      </c>
      <c r="H53" s="123">
        <v>3</v>
      </c>
      <c r="I53" s="123">
        <v>3</v>
      </c>
    </row>
    <row r="54" spans="2:9" x14ac:dyDescent="0.2">
      <c r="B54" s="202" t="s">
        <v>57</v>
      </c>
      <c r="C54" s="53">
        <v>750</v>
      </c>
      <c r="D54" s="53">
        <v>2.5</v>
      </c>
      <c r="E54" s="53">
        <v>3</v>
      </c>
      <c r="F54" s="54"/>
      <c r="G54" s="55">
        <v>2</v>
      </c>
      <c r="H54" s="53">
        <v>2</v>
      </c>
      <c r="I54" s="53">
        <v>2.5</v>
      </c>
    </row>
    <row r="55" spans="2:9" x14ac:dyDescent="0.2">
      <c r="B55" s="203"/>
      <c r="C55" s="53">
        <v>800</v>
      </c>
      <c r="D55" s="53">
        <v>3</v>
      </c>
      <c r="E55" s="53">
        <v>3.5</v>
      </c>
      <c r="F55" s="54"/>
      <c r="G55" s="55">
        <v>2.5</v>
      </c>
      <c r="H55" s="53">
        <v>2.5</v>
      </c>
      <c r="I55" s="53">
        <v>3</v>
      </c>
    </row>
    <row r="56" spans="2:9" x14ac:dyDescent="0.2">
      <c r="B56" s="203"/>
      <c r="C56" s="53">
        <v>1500</v>
      </c>
      <c r="D56" s="53">
        <v>3</v>
      </c>
      <c r="E56" s="53">
        <v>3.5</v>
      </c>
      <c r="F56" s="54"/>
      <c r="G56" s="55">
        <v>2.5</v>
      </c>
      <c r="H56" s="53">
        <v>2.5</v>
      </c>
      <c r="I56" s="53">
        <v>3</v>
      </c>
    </row>
    <row r="57" spans="2:9" x14ac:dyDescent="0.2">
      <c r="B57" s="203"/>
      <c r="C57" s="53">
        <v>2000</v>
      </c>
      <c r="D57" s="53">
        <v>3.5</v>
      </c>
      <c r="E57" s="53">
        <v>4.5</v>
      </c>
      <c r="F57" s="54"/>
      <c r="G57" s="55">
        <v>3</v>
      </c>
      <c r="H57" s="53">
        <v>3</v>
      </c>
      <c r="I57" s="53">
        <v>3.5</v>
      </c>
    </row>
    <row r="58" spans="2:9" x14ac:dyDescent="0.2">
      <c r="B58" s="203"/>
      <c r="C58" s="53">
        <v>6000</v>
      </c>
      <c r="D58" s="53">
        <v>3.5</v>
      </c>
      <c r="E58" s="53">
        <v>4.5</v>
      </c>
      <c r="F58" s="54"/>
      <c r="G58" s="55">
        <v>3</v>
      </c>
      <c r="H58" s="53">
        <v>3</v>
      </c>
      <c r="I58" s="53">
        <v>3.5</v>
      </c>
    </row>
    <row r="59" spans="2:9" x14ac:dyDescent="0.2">
      <c r="B59" s="203"/>
      <c r="C59" s="53">
        <v>10000</v>
      </c>
      <c r="D59" s="53">
        <v>4.5</v>
      </c>
      <c r="E59" s="53">
        <v>5</v>
      </c>
      <c r="F59" s="54"/>
      <c r="G59" s="55">
        <v>3.5</v>
      </c>
      <c r="H59" s="53">
        <v>3.5</v>
      </c>
      <c r="I59" s="53">
        <v>4.5</v>
      </c>
    </row>
    <row r="60" spans="2:9" x14ac:dyDescent="0.2">
      <c r="B60" s="204"/>
      <c r="C60" s="53" t="s">
        <v>81</v>
      </c>
      <c r="D60" s="53">
        <v>4.5</v>
      </c>
      <c r="E60" s="53">
        <v>5</v>
      </c>
      <c r="F60" s="54"/>
      <c r="G60" s="55">
        <v>3.5</v>
      </c>
      <c r="H60" s="53">
        <v>3.5</v>
      </c>
      <c r="I60" s="53">
        <v>4.5</v>
      </c>
    </row>
    <row r="61" spans="2:9" x14ac:dyDescent="0.2">
      <c r="B61" s="205" t="s">
        <v>58</v>
      </c>
      <c r="C61" s="8">
        <v>750</v>
      </c>
      <c r="D61" s="8">
        <v>3</v>
      </c>
      <c r="E61" s="8">
        <v>3</v>
      </c>
      <c r="F61" s="8"/>
      <c r="G61" s="8">
        <v>3</v>
      </c>
      <c r="H61" s="8">
        <v>3</v>
      </c>
      <c r="I61" s="8">
        <v>3</v>
      </c>
    </row>
    <row r="62" spans="2:9" x14ac:dyDescent="0.2">
      <c r="B62" s="206"/>
      <c r="C62" s="8">
        <v>800</v>
      </c>
      <c r="D62" s="8">
        <v>3.5</v>
      </c>
      <c r="E62" s="8">
        <v>4.5</v>
      </c>
      <c r="F62" s="8"/>
      <c r="G62" s="8">
        <v>3.5</v>
      </c>
      <c r="H62" s="8">
        <v>3.5</v>
      </c>
      <c r="I62" s="8">
        <v>3.5</v>
      </c>
    </row>
    <row r="63" spans="2:9" x14ac:dyDescent="0.2">
      <c r="B63" s="206"/>
      <c r="C63" s="8">
        <v>1500</v>
      </c>
      <c r="D63" s="8">
        <v>3.5</v>
      </c>
      <c r="E63" s="8">
        <v>4.5</v>
      </c>
      <c r="F63" s="8"/>
      <c r="G63" s="8">
        <v>3.5</v>
      </c>
      <c r="H63" s="8">
        <v>3.5</v>
      </c>
      <c r="I63" s="8">
        <v>3.5</v>
      </c>
    </row>
    <row r="64" spans="2:9" x14ac:dyDescent="0.2">
      <c r="B64" s="206"/>
      <c r="C64" s="8">
        <v>2000</v>
      </c>
      <c r="D64" s="8">
        <v>4.5</v>
      </c>
      <c r="E64" s="8">
        <v>5</v>
      </c>
      <c r="F64" s="8"/>
      <c r="G64" s="8">
        <v>4.5</v>
      </c>
      <c r="H64" s="8">
        <v>4.5</v>
      </c>
      <c r="I64" s="8">
        <v>4.5</v>
      </c>
    </row>
    <row r="65" spans="2:9" x14ac:dyDescent="0.2">
      <c r="B65" s="206"/>
      <c r="C65" s="8">
        <v>6000</v>
      </c>
      <c r="D65" s="8">
        <v>4.5</v>
      </c>
      <c r="E65" s="8">
        <v>5</v>
      </c>
      <c r="F65" s="8"/>
      <c r="G65" s="8">
        <v>4.5</v>
      </c>
      <c r="H65" s="8">
        <v>4.5</v>
      </c>
      <c r="I65" s="8">
        <v>4.5</v>
      </c>
    </row>
    <row r="66" spans="2:9" x14ac:dyDescent="0.2">
      <c r="B66" s="206"/>
      <c r="C66" s="8">
        <v>10000</v>
      </c>
      <c r="D66" s="8">
        <v>5</v>
      </c>
      <c r="E66" s="8">
        <v>5.5</v>
      </c>
      <c r="F66" s="8"/>
      <c r="G66" s="8">
        <v>5</v>
      </c>
      <c r="H66" s="8">
        <v>5</v>
      </c>
      <c r="I66" s="8">
        <v>5</v>
      </c>
    </row>
    <row r="67" spans="2:9" x14ac:dyDescent="0.2">
      <c r="B67" s="207"/>
      <c r="C67" s="123" t="s">
        <v>81</v>
      </c>
      <c r="D67" s="123">
        <v>5</v>
      </c>
      <c r="E67" s="123">
        <v>5.5</v>
      </c>
      <c r="F67" s="123"/>
      <c r="G67" s="123">
        <v>5</v>
      </c>
      <c r="H67" s="123">
        <v>5</v>
      </c>
      <c r="I67" s="123">
        <v>5</v>
      </c>
    </row>
    <row r="68" spans="2:9" x14ac:dyDescent="0.2">
      <c r="B68" s="202" t="s">
        <v>28</v>
      </c>
      <c r="C68" s="53">
        <v>750</v>
      </c>
      <c r="D68" s="53">
        <v>3.5</v>
      </c>
      <c r="E68" s="53">
        <v>4.5</v>
      </c>
      <c r="F68" s="53"/>
      <c r="G68" s="53">
        <v>3</v>
      </c>
      <c r="H68" s="53">
        <v>3</v>
      </c>
      <c r="I68" s="53">
        <v>3.5</v>
      </c>
    </row>
    <row r="69" spans="2:9" x14ac:dyDescent="0.2">
      <c r="B69" s="203"/>
      <c r="C69" s="53">
        <v>800</v>
      </c>
      <c r="D69" s="53">
        <v>5</v>
      </c>
      <c r="E69" s="53">
        <v>6</v>
      </c>
      <c r="F69" s="53"/>
      <c r="G69" s="53">
        <v>3.5</v>
      </c>
      <c r="H69" s="53">
        <v>4.5</v>
      </c>
      <c r="I69" s="53">
        <v>5</v>
      </c>
    </row>
    <row r="70" spans="2:9" x14ac:dyDescent="0.2">
      <c r="B70" s="203"/>
      <c r="C70" s="53">
        <v>1500</v>
      </c>
      <c r="D70" s="53">
        <v>5</v>
      </c>
      <c r="E70" s="53">
        <v>6</v>
      </c>
      <c r="F70" s="53"/>
      <c r="G70" s="53">
        <v>3.5</v>
      </c>
      <c r="H70" s="53">
        <v>4.5</v>
      </c>
      <c r="I70" s="53">
        <v>5</v>
      </c>
    </row>
    <row r="71" spans="2:9" x14ac:dyDescent="0.2">
      <c r="B71" s="203"/>
      <c r="C71" s="53">
        <v>2000</v>
      </c>
      <c r="D71" s="53">
        <v>5.5</v>
      </c>
      <c r="E71" s="53">
        <v>8</v>
      </c>
      <c r="F71" s="53"/>
      <c r="G71" s="53">
        <v>4.5</v>
      </c>
      <c r="H71" s="53">
        <v>5</v>
      </c>
      <c r="I71" s="53">
        <v>5.5</v>
      </c>
    </row>
    <row r="72" spans="2:9" x14ac:dyDescent="0.2">
      <c r="B72" s="203"/>
      <c r="C72" s="53">
        <v>6000</v>
      </c>
      <c r="D72" s="53">
        <v>5.5</v>
      </c>
      <c r="E72" s="53">
        <v>8</v>
      </c>
      <c r="F72" s="53"/>
      <c r="G72" s="53">
        <v>4.5</v>
      </c>
      <c r="H72" s="53">
        <v>5</v>
      </c>
      <c r="I72" s="53">
        <v>5.5</v>
      </c>
    </row>
    <row r="73" spans="2:9" x14ac:dyDescent="0.2">
      <c r="B73" s="203"/>
      <c r="C73" s="53">
        <v>10000</v>
      </c>
      <c r="D73" s="53">
        <v>6.5</v>
      </c>
      <c r="E73" s="53">
        <v>8.5</v>
      </c>
      <c r="F73" s="53"/>
      <c r="G73" s="53">
        <v>5</v>
      </c>
      <c r="H73" s="53">
        <v>6</v>
      </c>
      <c r="I73" s="53">
        <v>6.5</v>
      </c>
    </row>
    <row r="74" spans="2:9" x14ac:dyDescent="0.2">
      <c r="B74" s="204"/>
      <c r="C74" s="53" t="s">
        <v>81</v>
      </c>
      <c r="D74" s="53">
        <v>6.5</v>
      </c>
      <c r="E74" s="53">
        <v>8.5</v>
      </c>
      <c r="F74" s="53"/>
      <c r="G74" s="53">
        <v>5</v>
      </c>
      <c r="H74" s="53">
        <v>6</v>
      </c>
      <c r="I74" s="53">
        <v>6.5</v>
      </c>
    </row>
    <row r="75" spans="2:9" x14ac:dyDescent="0.2">
      <c r="B75" s="205" t="s">
        <v>29</v>
      </c>
      <c r="C75" s="8">
        <v>750</v>
      </c>
      <c r="D75" s="8">
        <v>4.5</v>
      </c>
      <c r="E75" s="8">
        <v>5.5</v>
      </c>
      <c r="F75" s="8"/>
      <c r="G75" s="8">
        <v>3</v>
      </c>
      <c r="H75" s="8">
        <v>3.5</v>
      </c>
      <c r="I75" s="8">
        <v>3.5</v>
      </c>
    </row>
    <row r="76" spans="2:9" x14ac:dyDescent="0.2">
      <c r="B76" s="206"/>
      <c r="C76" s="8">
        <v>800</v>
      </c>
      <c r="D76" s="8">
        <v>5.5</v>
      </c>
      <c r="E76" s="8">
        <v>7.5</v>
      </c>
      <c r="F76" s="8"/>
      <c r="G76" s="8">
        <v>3.5</v>
      </c>
      <c r="H76" s="8">
        <v>5</v>
      </c>
      <c r="I76" s="8">
        <v>5.5</v>
      </c>
    </row>
    <row r="77" spans="2:9" x14ac:dyDescent="0.2">
      <c r="B77" s="206"/>
      <c r="C77" s="8">
        <v>1500</v>
      </c>
      <c r="D77" s="8">
        <v>5.5</v>
      </c>
      <c r="E77" s="8">
        <v>7.5</v>
      </c>
      <c r="F77" s="8"/>
      <c r="G77" s="8">
        <v>3.5</v>
      </c>
      <c r="H77" s="8">
        <v>5</v>
      </c>
      <c r="I77" s="8">
        <v>5.5</v>
      </c>
    </row>
    <row r="78" spans="2:9" x14ac:dyDescent="0.2">
      <c r="B78" s="206"/>
      <c r="C78" s="8">
        <v>2000</v>
      </c>
      <c r="D78" s="8">
        <v>6.5</v>
      </c>
      <c r="E78" s="8">
        <v>9</v>
      </c>
      <c r="F78" s="8"/>
      <c r="G78" s="8">
        <v>5</v>
      </c>
      <c r="H78" s="8">
        <v>5.5</v>
      </c>
      <c r="I78" s="8">
        <v>6.5</v>
      </c>
    </row>
    <row r="79" spans="2:9" x14ac:dyDescent="0.2">
      <c r="B79" s="206"/>
      <c r="C79" s="8">
        <v>6000</v>
      </c>
      <c r="D79" s="8">
        <v>6.5</v>
      </c>
      <c r="E79" s="8">
        <v>9</v>
      </c>
      <c r="F79" s="8"/>
      <c r="G79" s="8">
        <v>5</v>
      </c>
      <c r="H79" s="8">
        <v>5.5</v>
      </c>
      <c r="I79" s="8">
        <v>6.5</v>
      </c>
    </row>
    <row r="80" spans="2:9" x14ac:dyDescent="0.2">
      <c r="B80" s="206"/>
      <c r="C80" s="8">
        <v>10000</v>
      </c>
      <c r="D80" s="8">
        <v>7.5</v>
      </c>
      <c r="E80" s="8">
        <v>10</v>
      </c>
      <c r="F80" s="8"/>
      <c r="G80" s="8">
        <v>5.5</v>
      </c>
      <c r="H80" s="8">
        <v>6.5</v>
      </c>
      <c r="I80" s="8">
        <v>7.5</v>
      </c>
    </row>
    <row r="81" spans="2:9" x14ac:dyDescent="0.2">
      <c r="B81" s="207"/>
      <c r="C81" s="123" t="s">
        <v>81</v>
      </c>
      <c r="D81" s="123">
        <v>7.5</v>
      </c>
      <c r="E81" s="123">
        <v>10</v>
      </c>
      <c r="F81" s="123"/>
      <c r="G81" s="123">
        <v>5.5</v>
      </c>
      <c r="H81" s="123">
        <v>6.5</v>
      </c>
      <c r="I81" s="123">
        <v>7.5</v>
      </c>
    </row>
    <row r="82" spans="2:9" x14ac:dyDescent="0.2">
      <c r="B82" s="202" t="s">
        <v>30</v>
      </c>
      <c r="C82" s="53">
        <v>750</v>
      </c>
      <c r="D82" s="53">
        <v>5.5</v>
      </c>
      <c r="E82" s="53">
        <v>7.5</v>
      </c>
      <c r="F82" s="53"/>
      <c r="G82" s="53">
        <v>3.5</v>
      </c>
      <c r="H82" s="53">
        <v>4.5</v>
      </c>
      <c r="I82" s="53">
        <v>5</v>
      </c>
    </row>
    <row r="83" spans="2:9" x14ac:dyDescent="0.2">
      <c r="B83" s="203"/>
      <c r="C83" s="53">
        <v>800</v>
      </c>
      <c r="D83" s="53">
        <v>7.5</v>
      </c>
      <c r="E83" s="53">
        <v>10</v>
      </c>
      <c r="F83" s="53"/>
      <c r="G83" s="53">
        <v>4.5</v>
      </c>
      <c r="H83" s="53">
        <v>5.5</v>
      </c>
      <c r="I83" s="53">
        <v>6.5</v>
      </c>
    </row>
    <row r="84" spans="2:9" x14ac:dyDescent="0.2">
      <c r="B84" s="203"/>
      <c r="C84" s="53">
        <v>1500</v>
      </c>
      <c r="D84" s="53">
        <v>7.5</v>
      </c>
      <c r="E84" s="53">
        <v>10</v>
      </c>
      <c r="F84" s="53"/>
      <c r="G84" s="53">
        <v>4.5</v>
      </c>
      <c r="H84" s="53">
        <v>5.5</v>
      </c>
      <c r="I84" s="53">
        <v>6.5</v>
      </c>
    </row>
    <row r="85" spans="2:9" x14ac:dyDescent="0.2">
      <c r="B85" s="203"/>
      <c r="C85" s="53">
        <v>2000</v>
      </c>
      <c r="D85" s="53">
        <v>9</v>
      </c>
      <c r="E85" s="53">
        <v>12</v>
      </c>
      <c r="F85" s="53"/>
      <c r="G85" s="53">
        <v>5.5</v>
      </c>
      <c r="H85" s="53">
        <v>6.5</v>
      </c>
      <c r="I85" s="53">
        <v>8</v>
      </c>
    </row>
    <row r="86" spans="2:9" x14ac:dyDescent="0.2">
      <c r="B86" s="203"/>
      <c r="C86" s="53">
        <v>6000</v>
      </c>
      <c r="D86" s="53">
        <v>9</v>
      </c>
      <c r="E86" s="53">
        <v>12</v>
      </c>
      <c r="F86" s="53"/>
      <c r="G86" s="53">
        <v>5.5</v>
      </c>
      <c r="H86" s="53">
        <v>6.5</v>
      </c>
      <c r="I86" s="53">
        <v>8</v>
      </c>
    </row>
    <row r="87" spans="2:9" x14ac:dyDescent="0.2">
      <c r="B87" s="203"/>
      <c r="C87" s="53">
        <v>10000</v>
      </c>
      <c r="D87" s="53">
        <v>10</v>
      </c>
      <c r="E87" s="53">
        <v>13.5</v>
      </c>
      <c r="F87" s="53"/>
      <c r="G87" s="53">
        <v>6.5</v>
      </c>
      <c r="H87" s="53">
        <v>8</v>
      </c>
      <c r="I87" s="53">
        <v>8.5</v>
      </c>
    </row>
    <row r="88" spans="2:9" x14ac:dyDescent="0.2">
      <c r="B88" s="204"/>
      <c r="C88" s="53" t="s">
        <v>81</v>
      </c>
      <c r="D88" s="53">
        <v>10</v>
      </c>
      <c r="E88" s="53">
        <v>13.5</v>
      </c>
      <c r="F88" s="53"/>
      <c r="G88" s="53">
        <v>6.5</v>
      </c>
      <c r="H88" s="53">
        <v>8</v>
      </c>
      <c r="I88" s="53">
        <v>8.5</v>
      </c>
    </row>
    <row r="89" spans="2:9" x14ac:dyDescent="0.2">
      <c r="B89" s="208" t="s">
        <v>31</v>
      </c>
      <c r="C89" s="8">
        <v>750</v>
      </c>
      <c r="D89" s="8">
        <v>6</v>
      </c>
      <c r="E89" s="8">
        <v>8</v>
      </c>
      <c r="F89" s="8"/>
      <c r="G89" s="8">
        <v>3.5</v>
      </c>
      <c r="H89" s="8">
        <v>5</v>
      </c>
      <c r="I89" s="8">
        <v>5</v>
      </c>
    </row>
    <row r="90" spans="2:9" x14ac:dyDescent="0.2">
      <c r="B90" s="209"/>
      <c r="C90" s="8">
        <v>800</v>
      </c>
      <c r="D90" s="8">
        <v>8</v>
      </c>
      <c r="E90" s="8">
        <v>11</v>
      </c>
      <c r="F90" s="8"/>
      <c r="G90" s="8">
        <v>5</v>
      </c>
      <c r="H90" s="8">
        <v>6</v>
      </c>
      <c r="I90" s="8">
        <v>6.5</v>
      </c>
    </row>
    <row r="91" spans="2:9" x14ac:dyDescent="0.2">
      <c r="B91" s="209"/>
      <c r="C91" s="8">
        <v>1500</v>
      </c>
      <c r="D91" s="8">
        <v>8</v>
      </c>
      <c r="E91" s="8">
        <v>11</v>
      </c>
      <c r="F91" s="8"/>
      <c r="G91" s="8">
        <v>5</v>
      </c>
      <c r="H91" s="8">
        <v>6</v>
      </c>
      <c r="I91" s="8">
        <v>6.5</v>
      </c>
    </row>
    <row r="92" spans="2:9" x14ac:dyDescent="0.2">
      <c r="B92" s="209"/>
      <c r="C92" s="8">
        <v>2000</v>
      </c>
      <c r="D92" s="8">
        <v>10</v>
      </c>
      <c r="E92" s="8">
        <v>13</v>
      </c>
      <c r="F92" s="8"/>
      <c r="G92" s="8">
        <v>6</v>
      </c>
      <c r="H92" s="8">
        <v>7.5</v>
      </c>
      <c r="I92" s="8">
        <v>8.5</v>
      </c>
    </row>
    <row r="93" spans="2:9" x14ac:dyDescent="0.2">
      <c r="B93" s="209"/>
      <c r="C93" s="8">
        <v>6000</v>
      </c>
      <c r="D93" s="8">
        <v>10</v>
      </c>
      <c r="E93" s="8">
        <v>13</v>
      </c>
      <c r="F93" s="8"/>
      <c r="G93" s="8">
        <v>6</v>
      </c>
      <c r="H93" s="8">
        <v>7.5</v>
      </c>
      <c r="I93" s="8">
        <v>8.5</v>
      </c>
    </row>
    <row r="94" spans="2:9" x14ac:dyDescent="0.2">
      <c r="B94" s="209"/>
      <c r="C94" s="8">
        <v>10000</v>
      </c>
      <c r="D94" s="8">
        <v>10.5</v>
      </c>
      <c r="E94" s="8">
        <v>14</v>
      </c>
      <c r="F94" s="8"/>
      <c r="G94" s="8">
        <v>7.5</v>
      </c>
      <c r="H94" s="8">
        <v>9</v>
      </c>
      <c r="I94" s="8">
        <v>9</v>
      </c>
    </row>
    <row r="95" spans="2:9" x14ac:dyDescent="0.2">
      <c r="B95" s="209"/>
      <c r="C95" s="123" t="s">
        <v>81</v>
      </c>
      <c r="D95" s="123">
        <v>10.5</v>
      </c>
      <c r="E95" s="123">
        <v>14</v>
      </c>
      <c r="F95" s="123"/>
      <c r="G95" s="123">
        <v>7.5</v>
      </c>
      <c r="H95" s="123">
        <v>9</v>
      </c>
      <c r="I95" s="123">
        <v>9</v>
      </c>
    </row>
    <row r="99" spans="2:14" x14ac:dyDescent="0.2">
      <c r="B99" s="243" t="s">
        <v>108</v>
      </c>
      <c r="C99" s="243"/>
      <c r="D99" s="243"/>
      <c r="E99" s="243"/>
      <c r="F99" s="243"/>
      <c r="G99" s="243"/>
      <c r="H99" s="243"/>
      <c r="I99" s="243"/>
      <c r="J99" s="243"/>
      <c r="K99" s="243"/>
      <c r="L99" s="243"/>
      <c r="M99" s="243"/>
      <c r="N99" s="243"/>
    </row>
    <row r="100" spans="2:14" x14ac:dyDescent="0.2">
      <c r="B100" s="242" t="s">
        <v>113</v>
      </c>
      <c r="C100" s="242"/>
      <c r="D100" s="242"/>
      <c r="E100" s="242"/>
      <c r="F100" s="242"/>
      <c r="G100" s="242"/>
      <c r="H100" s="242"/>
      <c r="I100" s="242"/>
      <c r="J100" s="242"/>
      <c r="K100" s="242"/>
      <c r="L100" s="242"/>
      <c r="M100" s="242"/>
      <c r="N100" s="242"/>
    </row>
    <row r="101" spans="2:14" x14ac:dyDescent="0.2">
      <c r="B101" s="198" t="s">
        <v>41</v>
      </c>
      <c r="C101" s="242" t="s">
        <v>40</v>
      </c>
      <c r="D101" s="242"/>
      <c r="E101" s="242"/>
      <c r="F101" s="242"/>
      <c r="G101" s="242"/>
      <c r="H101" s="242"/>
      <c r="I101" s="242"/>
      <c r="J101" s="242"/>
      <c r="K101" s="242"/>
      <c r="L101" s="242"/>
      <c r="M101" s="242"/>
      <c r="N101" s="242"/>
    </row>
    <row r="102" spans="2:14" x14ac:dyDescent="0.2">
      <c r="B102" s="199"/>
      <c r="C102" s="11">
        <v>100</v>
      </c>
      <c r="D102" s="11">
        <v>150</v>
      </c>
      <c r="E102" s="11">
        <v>200</v>
      </c>
      <c r="F102" s="11">
        <v>250</v>
      </c>
      <c r="G102" s="11">
        <v>300</v>
      </c>
      <c r="H102" s="11">
        <v>350</v>
      </c>
      <c r="I102" s="11">
        <v>400</v>
      </c>
      <c r="J102" s="11">
        <v>450</v>
      </c>
      <c r="K102" s="11">
        <v>500</v>
      </c>
      <c r="L102" s="11">
        <v>600</v>
      </c>
      <c r="M102" s="11">
        <v>700</v>
      </c>
      <c r="N102" s="11">
        <v>900</v>
      </c>
    </row>
    <row r="103" spans="2:14" x14ac:dyDescent="0.2">
      <c r="B103" s="20"/>
      <c r="C103" s="11">
        <v>2</v>
      </c>
      <c r="D103" s="11">
        <v>3</v>
      </c>
      <c r="E103" s="11">
        <v>4</v>
      </c>
      <c r="F103" s="11">
        <v>5</v>
      </c>
      <c r="G103" s="11">
        <v>6</v>
      </c>
      <c r="H103" s="11">
        <v>7</v>
      </c>
      <c r="I103" s="11">
        <v>8</v>
      </c>
      <c r="J103" s="11">
        <v>9</v>
      </c>
      <c r="K103" s="11">
        <v>10</v>
      </c>
      <c r="L103" s="11">
        <v>11</v>
      </c>
      <c r="M103" s="11">
        <v>12</v>
      </c>
      <c r="N103" s="11">
        <v>13</v>
      </c>
    </row>
    <row r="104" spans="2:14" x14ac:dyDescent="0.2">
      <c r="B104" s="140">
        <v>40</v>
      </c>
      <c r="C104" s="124">
        <v>1.4</v>
      </c>
      <c r="D104" s="124">
        <v>1.3</v>
      </c>
      <c r="E104" s="124">
        <v>1.2</v>
      </c>
      <c r="F104" s="124">
        <v>1.2</v>
      </c>
      <c r="G104" s="141">
        <v>1.2</v>
      </c>
      <c r="H104" s="141">
        <v>1.2</v>
      </c>
      <c r="I104" s="141">
        <v>1.1000000000000001</v>
      </c>
      <c r="J104" s="141">
        <v>1.1000000000000001</v>
      </c>
      <c r="K104" s="141">
        <v>1.1000000000000001</v>
      </c>
      <c r="L104" s="141">
        <v>1.1000000000000001</v>
      </c>
      <c r="M104" s="141">
        <v>1.1000000000000001</v>
      </c>
      <c r="N104" s="141">
        <v>1.1000000000000001</v>
      </c>
    </row>
    <row r="105" spans="2:14" x14ac:dyDescent="0.2">
      <c r="B105" s="140">
        <v>50</v>
      </c>
      <c r="C105" s="124">
        <v>1.4</v>
      </c>
      <c r="D105" s="124">
        <v>1.3</v>
      </c>
      <c r="E105" s="124">
        <v>1.2</v>
      </c>
      <c r="F105" s="124">
        <v>1.2</v>
      </c>
      <c r="G105" s="124">
        <v>1.2</v>
      </c>
      <c r="H105" s="141">
        <v>1.2</v>
      </c>
      <c r="I105" s="141">
        <v>1.2</v>
      </c>
      <c r="J105" s="141">
        <v>1.1000000000000001</v>
      </c>
      <c r="K105" s="141">
        <v>1.1000000000000001</v>
      </c>
      <c r="L105" s="141">
        <v>1.1000000000000001</v>
      </c>
      <c r="M105" s="141">
        <v>1.1000000000000001</v>
      </c>
      <c r="N105" s="141">
        <v>1.1000000000000001</v>
      </c>
    </row>
    <row r="106" spans="2:14" x14ac:dyDescent="0.2">
      <c r="B106" s="140">
        <v>55</v>
      </c>
      <c r="C106" s="124">
        <v>1.5</v>
      </c>
      <c r="D106" s="124">
        <v>1.4</v>
      </c>
      <c r="E106" s="124">
        <v>1.3</v>
      </c>
      <c r="F106" s="124">
        <v>1.2</v>
      </c>
      <c r="G106" s="124">
        <v>1.2</v>
      </c>
      <c r="H106" s="124">
        <v>1.2</v>
      </c>
      <c r="I106" s="141">
        <v>1.2</v>
      </c>
      <c r="J106" s="141">
        <v>1.1000000000000001</v>
      </c>
      <c r="K106" s="141">
        <v>1.1000000000000001</v>
      </c>
      <c r="L106" s="141">
        <v>1.1000000000000001</v>
      </c>
      <c r="M106" s="141">
        <v>1.1000000000000001</v>
      </c>
      <c r="N106" s="141">
        <v>1.1000000000000001</v>
      </c>
    </row>
    <row r="107" spans="2:14" x14ac:dyDescent="0.2">
      <c r="B107" s="11">
        <v>60</v>
      </c>
      <c r="C107" s="11">
        <v>1.5</v>
      </c>
      <c r="D107" s="11">
        <v>1.4</v>
      </c>
      <c r="E107" s="11">
        <v>1.3</v>
      </c>
      <c r="F107" s="11">
        <v>1.3</v>
      </c>
      <c r="G107" s="11">
        <v>1.2</v>
      </c>
      <c r="H107" s="11">
        <v>1.2</v>
      </c>
      <c r="I107" s="11">
        <v>1.2</v>
      </c>
      <c r="J107" s="11">
        <v>1.2</v>
      </c>
      <c r="K107" s="11">
        <v>1.1000000000000001</v>
      </c>
      <c r="L107" s="11">
        <v>1.1000000000000001</v>
      </c>
      <c r="M107" s="11">
        <v>1.1000000000000001</v>
      </c>
      <c r="N107" s="11">
        <v>1.1000000000000001</v>
      </c>
    </row>
    <row r="108" spans="2:14" x14ac:dyDescent="0.2">
      <c r="B108" s="11">
        <v>70</v>
      </c>
      <c r="C108" s="56">
        <v>1.5</v>
      </c>
      <c r="D108" s="11">
        <v>1.5</v>
      </c>
      <c r="E108" s="11">
        <v>1.4</v>
      </c>
      <c r="F108" s="11">
        <v>1.3</v>
      </c>
      <c r="G108" s="11">
        <v>1.3</v>
      </c>
      <c r="H108" s="11">
        <v>1.2</v>
      </c>
      <c r="I108" s="11">
        <v>1.2</v>
      </c>
      <c r="J108" s="11">
        <v>1.2</v>
      </c>
      <c r="K108" s="11">
        <v>1.2</v>
      </c>
      <c r="L108" s="11">
        <v>1.2</v>
      </c>
      <c r="M108" s="11">
        <v>1.1000000000000001</v>
      </c>
      <c r="N108" s="11">
        <v>1.1000000000000001</v>
      </c>
    </row>
    <row r="109" spans="2:14" x14ac:dyDescent="0.2">
      <c r="B109" s="11">
        <v>80</v>
      </c>
      <c r="C109" s="56">
        <v>1.5</v>
      </c>
      <c r="D109" s="56">
        <v>1.5</v>
      </c>
      <c r="E109" s="11">
        <v>1.5</v>
      </c>
      <c r="F109" s="11">
        <v>1.4</v>
      </c>
      <c r="G109" s="11">
        <v>1.4</v>
      </c>
      <c r="H109" s="11">
        <v>1.3</v>
      </c>
      <c r="I109" s="11">
        <v>1.3</v>
      </c>
      <c r="J109" s="11">
        <v>1.3</v>
      </c>
      <c r="K109" s="11">
        <v>1.2</v>
      </c>
      <c r="L109" s="11">
        <v>1.2</v>
      </c>
      <c r="M109" s="11">
        <v>1.2</v>
      </c>
      <c r="N109" s="11">
        <v>1.1000000000000001</v>
      </c>
    </row>
    <row r="110" spans="2:14" x14ac:dyDescent="0.2">
      <c r="B110" s="11">
        <v>90</v>
      </c>
      <c r="C110" s="56">
        <v>1.5</v>
      </c>
      <c r="D110" s="56">
        <v>1.5</v>
      </c>
      <c r="E110" s="56">
        <v>1.5</v>
      </c>
      <c r="F110" s="11">
        <v>1.5</v>
      </c>
      <c r="G110" s="11">
        <v>1.5</v>
      </c>
      <c r="H110" s="11">
        <v>1.4</v>
      </c>
      <c r="I110" s="11">
        <v>1.3</v>
      </c>
      <c r="J110" s="11">
        <v>1.3</v>
      </c>
      <c r="K110" s="11">
        <v>1.3</v>
      </c>
      <c r="L110" s="11">
        <v>1.2</v>
      </c>
      <c r="M110" s="11">
        <v>1.2</v>
      </c>
      <c r="N110" s="11">
        <v>1.2</v>
      </c>
    </row>
    <row r="111" spans="2:14" x14ac:dyDescent="0.2">
      <c r="B111" s="11">
        <v>100</v>
      </c>
      <c r="C111" s="56">
        <v>1.5</v>
      </c>
      <c r="D111" s="56">
        <v>1.5</v>
      </c>
      <c r="E111" s="56">
        <v>1.5</v>
      </c>
      <c r="F111" s="56">
        <v>1.5</v>
      </c>
      <c r="G111" s="11">
        <v>1.5</v>
      </c>
      <c r="H111" s="11">
        <v>1.5</v>
      </c>
      <c r="I111" s="11">
        <v>1.4</v>
      </c>
      <c r="J111" s="11">
        <v>1.4</v>
      </c>
      <c r="K111" s="11">
        <v>1.3</v>
      </c>
      <c r="L111" s="11">
        <v>1.3</v>
      </c>
      <c r="M111" s="11">
        <v>1.2</v>
      </c>
      <c r="N111" s="11">
        <v>1.2</v>
      </c>
    </row>
    <row r="112" spans="2:14" x14ac:dyDescent="0.2">
      <c r="B112" s="11">
        <v>110</v>
      </c>
      <c r="C112" s="56">
        <v>1.5</v>
      </c>
      <c r="D112" s="56">
        <v>1.5</v>
      </c>
      <c r="E112" s="56">
        <v>1.5</v>
      </c>
      <c r="F112" s="56">
        <v>1.5</v>
      </c>
      <c r="G112" s="56">
        <v>1.5</v>
      </c>
      <c r="H112" s="56">
        <v>1.5</v>
      </c>
      <c r="I112" s="56">
        <v>1.5</v>
      </c>
      <c r="J112" s="11">
        <v>1.5</v>
      </c>
      <c r="K112" s="11">
        <v>1.4</v>
      </c>
      <c r="L112" s="11">
        <v>1.4</v>
      </c>
      <c r="M112" s="11">
        <v>1.3</v>
      </c>
      <c r="N112" s="11">
        <v>1.2</v>
      </c>
    </row>
  </sheetData>
  <mergeCells count="30">
    <mergeCell ref="G38:I38"/>
    <mergeCell ref="B101:B102"/>
    <mergeCell ref="B100:N100"/>
    <mergeCell ref="C101:N101"/>
    <mergeCell ref="B38:B39"/>
    <mergeCell ref="C38:C39"/>
    <mergeCell ref="D38:F38"/>
    <mergeCell ref="B99:N99"/>
    <mergeCell ref="B75:B81"/>
    <mergeCell ref="B82:B88"/>
    <mergeCell ref="B89:B95"/>
    <mergeCell ref="B40:B46"/>
    <mergeCell ref="B47:B53"/>
    <mergeCell ref="B54:B60"/>
    <mergeCell ref="B61:B67"/>
    <mergeCell ref="B68:B74"/>
    <mergeCell ref="G2:K2"/>
    <mergeCell ref="B37:I37"/>
    <mergeCell ref="B3:C3"/>
    <mergeCell ref="H4:K4"/>
    <mergeCell ref="B20:E20"/>
    <mergeCell ref="B21:B22"/>
    <mergeCell ref="C21:C22"/>
    <mergeCell ref="D21:E21"/>
    <mergeCell ref="B2:C2"/>
    <mergeCell ref="H6:K6"/>
    <mergeCell ref="G4:G5"/>
    <mergeCell ref="G3:K3"/>
    <mergeCell ref="B19:E19"/>
    <mergeCell ref="B36:I36"/>
  </mergeCells>
  <phoneticPr fontId="0" type="noConversion"/>
  <pageMargins left="0.75" right="0.75" top="0.5" bottom="0.5" header="0.5" footer="0.5"/>
  <pageSetup scale="71" fitToHeight="3" orientation="landscape" r:id="rId1"/>
  <headerFooter alignWithMargins="0"/>
  <rowBreaks count="2" manualBreakCount="2">
    <brk id="35" max="13" man="1"/>
    <brk id="9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42</vt:i4>
      </vt:variant>
    </vt:vector>
  </HeadingPairs>
  <TitlesOfParts>
    <vt:vector size="48" baseType="lpstr">
      <vt:lpstr>READ ME FIRST</vt:lpstr>
      <vt:lpstr>Definitions</vt:lpstr>
      <vt:lpstr>US Customary Calculations</vt:lpstr>
      <vt:lpstr>Metric Calculations </vt:lpstr>
      <vt:lpstr>USCust RDG 2011</vt:lpstr>
      <vt:lpstr>Metric RDG 2011</vt:lpstr>
      <vt:lpstr>ADT</vt:lpstr>
      <vt:lpstr>Definitions</vt:lpstr>
      <vt:lpstr>EClear20</vt:lpstr>
      <vt:lpstr>EClear30</vt:lpstr>
      <vt:lpstr>EClear35</vt:lpstr>
      <vt:lpstr>EClear40</vt:lpstr>
      <vt:lpstr>EClear50</vt:lpstr>
      <vt:lpstr>EClear55</vt:lpstr>
      <vt:lpstr>EClear60</vt:lpstr>
      <vt:lpstr>EClear70</vt:lpstr>
      <vt:lpstr>ECurve</vt:lpstr>
      <vt:lpstr>ECurveCorrection</vt:lpstr>
      <vt:lpstr>ECurves</vt:lpstr>
      <vt:lpstr>EFlare</vt:lpstr>
      <vt:lpstr>ERunout</vt:lpstr>
      <vt:lpstr>EShy</vt:lpstr>
      <vt:lpstr>EShyLine</vt:lpstr>
      <vt:lpstr>ESpeed</vt:lpstr>
      <vt:lpstr>ETerminals</vt:lpstr>
      <vt:lpstr>ETransitions</vt:lpstr>
      <vt:lpstr>FillSlope</vt:lpstr>
      <vt:lpstr>Hints</vt:lpstr>
      <vt:lpstr>MClear100</vt:lpstr>
      <vt:lpstr>MClear110</vt:lpstr>
      <vt:lpstr>MClear30</vt:lpstr>
      <vt:lpstr>MClear50</vt:lpstr>
      <vt:lpstr>MClear55</vt:lpstr>
      <vt:lpstr>MClear60</vt:lpstr>
      <vt:lpstr>MClear80</vt:lpstr>
      <vt:lpstr>MClear90</vt:lpstr>
      <vt:lpstr>MCurve</vt:lpstr>
      <vt:lpstr>MCurveCorrection</vt:lpstr>
      <vt:lpstr>MCurves</vt:lpstr>
      <vt:lpstr>MFlare</vt:lpstr>
      <vt:lpstr>MRunout</vt:lpstr>
      <vt:lpstr>MShyLine</vt:lpstr>
      <vt:lpstr>MSpeed</vt:lpstr>
      <vt:lpstr>MTerminal</vt:lpstr>
      <vt:lpstr>MTransition</vt:lpstr>
      <vt:lpstr>Option</vt:lpstr>
      <vt:lpstr>'Metric RDG 2011'!Print_Area</vt:lpstr>
      <vt:lpstr>'USCust RDG 2011'!Print_Area</vt:lpstr>
    </vt:vector>
  </TitlesOfParts>
  <Company>Federal Highway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Kinne</dc:creator>
  <cp:lastModifiedBy>Tori Brinkly</cp:lastModifiedBy>
  <cp:lastPrinted>2015-04-07T18:07:29Z</cp:lastPrinted>
  <dcterms:created xsi:type="dcterms:W3CDTF">2002-01-04T18:20:48Z</dcterms:created>
  <dcterms:modified xsi:type="dcterms:W3CDTF">2018-06-26T17:33:50Z</dcterms:modified>
</cp:coreProperties>
</file>