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90" windowWidth="14955" windowHeight="9765"/>
  </bookViews>
  <sheets>
    <sheet name="Widening" sheetId="4" r:id="rId1"/>
    <sheet name="Values" sheetId="5" r:id="rId2"/>
  </sheets>
  <definedNames>
    <definedName name="_C" localSheetId="1">Widening!$A$54</definedName>
    <definedName name="_C" localSheetId="0">Widening!$A$54</definedName>
    <definedName name="_e">Widening!$A$50</definedName>
    <definedName name="_N">Widening!$A$2</definedName>
    <definedName name="_Wn">Widening!$A$3</definedName>
    <definedName name="Max.Radius">Widening!$A$52</definedName>
    <definedName name="Min.Speed">Widening!$A$51</definedName>
    <definedName name="_xlnm.Print_Area" localSheetId="0">Widening!$A$8:$N$47</definedName>
    <definedName name="_xlnm.Print_Titles" localSheetId="0">Widening!$A:$A,Widening!$4:$6</definedName>
    <definedName name="Type">Widening!$A$1</definedName>
    <definedName name="USC?">Widening!$A$55</definedName>
  </definedNames>
  <calcPr calcId="145621" calcCompleted="0"/>
</workbook>
</file>

<file path=xl/calcChain.xml><?xml version="1.0" encoding="utf-8"?>
<calcChain xmlns="http://schemas.openxmlformats.org/spreadsheetml/2006/main">
  <c r="AL22" i="5" l="1"/>
  <c r="AK22" i="5"/>
  <c r="AI22" i="5"/>
  <c r="AG22" i="5"/>
  <c r="AE22" i="5"/>
  <c r="AC22" i="5"/>
  <c r="AA22" i="5"/>
  <c r="Y22" i="5"/>
  <c r="W22" i="5"/>
  <c r="U22" i="5"/>
  <c r="T22" i="5"/>
  <c r="Q22" i="5"/>
  <c r="O22" i="5"/>
  <c r="M22" i="5"/>
  <c r="AL21" i="5"/>
  <c r="AK21" i="5"/>
  <c r="AI21" i="5"/>
  <c r="AG21" i="5"/>
  <c r="AE21" i="5"/>
  <c r="AC21" i="5"/>
  <c r="AA21" i="5"/>
  <c r="Y21" i="5"/>
  <c r="W21" i="5"/>
  <c r="U21" i="5"/>
  <c r="T21" i="5"/>
  <c r="Q21" i="5"/>
  <c r="O21" i="5"/>
  <c r="M21" i="5"/>
  <c r="AL20" i="5"/>
  <c r="AK20" i="5"/>
  <c r="AI20" i="5"/>
  <c r="AG20" i="5"/>
  <c r="AE20" i="5"/>
  <c r="AC20" i="5"/>
  <c r="AA20" i="5"/>
  <c r="Y20" i="5"/>
  <c r="W20" i="5"/>
  <c r="U20" i="5"/>
  <c r="T20" i="5"/>
  <c r="Q20" i="5"/>
  <c r="O20" i="5"/>
  <c r="M20" i="5"/>
  <c r="AL19" i="5"/>
  <c r="AK19" i="5"/>
  <c r="AI19" i="5"/>
  <c r="AG19" i="5"/>
  <c r="AE19" i="5"/>
  <c r="AC19" i="5"/>
  <c r="AA19" i="5"/>
  <c r="Y19" i="5"/>
  <c r="W19" i="5"/>
  <c r="U19" i="5"/>
  <c r="T19" i="5"/>
  <c r="Q19" i="5"/>
  <c r="S19" i="5" s="1"/>
  <c r="O19" i="5"/>
  <c r="M19" i="5"/>
  <c r="AL18" i="5"/>
  <c r="AK18" i="5"/>
  <c r="AI18" i="5"/>
  <c r="AG18" i="5"/>
  <c r="AE18" i="5"/>
  <c r="AC18" i="5"/>
  <c r="AA18" i="5"/>
  <c r="Y18" i="5"/>
  <c r="W18" i="5"/>
  <c r="U18" i="5"/>
  <c r="T18" i="5"/>
  <c r="Q18" i="5"/>
  <c r="S18" i="5" s="1"/>
  <c r="O18" i="5"/>
  <c r="M18" i="5"/>
  <c r="AL17" i="5"/>
  <c r="AK17" i="5"/>
  <c r="AI17" i="5"/>
  <c r="AG17" i="5"/>
  <c r="AE17" i="5"/>
  <c r="AC17" i="5"/>
  <c r="AA17" i="5"/>
  <c r="Y17" i="5"/>
  <c r="W17" i="5"/>
  <c r="U17" i="5"/>
  <c r="T17" i="5"/>
  <c r="Q17" i="5"/>
  <c r="S17" i="5" s="1"/>
  <c r="O17" i="5"/>
  <c r="M17" i="5"/>
  <c r="AL16" i="5"/>
  <c r="AK16" i="5"/>
  <c r="AI16" i="5"/>
  <c r="AG16" i="5"/>
  <c r="AE16" i="5"/>
  <c r="AC16" i="5"/>
  <c r="AA16" i="5"/>
  <c r="Y16" i="5"/>
  <c r="W16" i="5"/>
  <c r="U16" i="5"/>
  <c r="T16" i="5"/>
  <c r="Q16" i="5"/>
  <c r="S16" i="5" s="1"/>
  <c r="O16" i="5"/>
  <c r="M16" i="5"/>
  <c r="AL15" i="5"/>
  <c r="AK15" i="5"/>
  <c r="AI15" i="5"/>
  <c r="AG15" i="5"/>
  <c r="AE15" i="5"/>
  <c r="AC15" i="5"/>
  <c r="AA15" i="5"/>
  <c r="Y15" i="5"/>
  <c r="W15" i="5"/>
  <c r="U15" i="5"/>
  <c r="T15" i="5"/>
  <c r="S15" i="5"/>
  <c r="Q15" i="5"/>
  <c r="O15" i="5"/>
  <c r="M15" i="5"/>
  <c r="AL14" i="5"/>
  <c r="AK14" i="5"/>
  <c r="AI14" i="5"/>
  <c r="AG14" i="5"/>
  <c r="AE14" i="5"/>
  <c r="AC14" i="5"/>
  <c r="AA14" i="5"/>
  <c r="Y14" i="5"/>
  <c r="W14" i="5"/>
  <c r="U14" i="5"/>
  <c r="R14" i="5"/>
  <c r="T14" i="5" s="1"/>
  <c r="O14" i="5"/>
  <c r="M14" i="5"/>
  <c r="AL13" i="5"/>
  <c r="AK13" i="5"/>
  <c r="AI13" i="5"/>
  <c r="AG13" i="5"/>
  <c r="AE13" i="5"/>
  <c r="AC13" i="5"/>
  <c r="AA13" i="5"/>
  <c r="Y13" i="5"/>
  <c r="W13" i="5"/>
  <c r="U13" i="5"/>
  <c r="R13" i="5"/>
  <c r="T13" i="5" s="1"/>
  <c r="O13" i="5"/>
  <c r="M13" i="5"/>
  <c r="AL12" i="5"/>
  <c r="AK12" i="5"/>
  <c r="AI12" i="5"/>
  <c r="AG12" i="5"/>
  <c r="AE12" i="5"/>
  <c r="AC12" i="5"/>
  <c r="AA12" i="5"/>
  <c r="Y12" i="5"/>
  <c r="W12" i="5"/>
  <c r="U12" i="5"/>
  <c r="T12" i="5"/>
  <c r="Q12" i="5"/>
  <c r="O12" i="5"/>
  <c r="M12" i="5"/>
  <c r="AL11" i="5"/>
  <c r="AK11" i="5"/>
  <c r="AI11" i="5"/>
  <c r="AG11" i="5"/>
  <c r="AE11" i="5"/>
  <c r="AC11" i="5"/>
  <c r="AA11" i="5"/>
  <c r="Y11" i="5"/>
  <c r="W11" i="5"/>
  <c r="U11" i="5"/>
  <c r="T11" i="5"/>
  <c r="Q11" i="5"/>
  <c r="O11" i="5"/>
  <c r="M11" i="5"/>
  <c r="AL10" i="5"/>
  <c r="AK10" i="5"/>
  <c r="AI10" i="5"/>
  <c r="AG10" i="5"/>
  <c r="AE10" i="5"/>
  <c r="AC10" i="5"/>
  <c r="AA10" i="5"/>
  <c r="Y10" i="5"/>
  <c r="W10" i="5"/>
  <c r="U10" i="5"/>
  <c r="T10" i="5"/>
  <c r="Q10" i="5"/>
  <c r="O10" i="5"/>
  <c r="M10" i="5"/>
  <c r="AL9" i="5"/>
  <c r="AK9" i="5"/>
  <c r="AI9" i="5"/>
  <c r="AG9" i="5"/>
  <c r="AE9" i="5"/>
  <c r="AC9" i="5"/>
  <c r="AA9" i="5"/>
  <c r="Y9" i="5"/>
  <c r="W9" i="5"/>
  <c r="U9" i="5"/>
  <c r="T9" i="5"/>
  <c r="Q9" i="5"/>
  <c r="M9" i="5"/>
  <c r="AL8" i="5"/>
  <c r="AK8" i="5"/>
  <c r="AI8" i="5"/>
  <c r="AG8" i="5"/>
  <c r="AE8" i="5"/>
  <c r="AC8" i="5"/>
  <c r="AA8" i="5"/>
  <c r="Y8" i="5"/>
  <c r="W8" i="5"/>
  <c r="U8" i="5"/>
  <c r="T8" i="5"/>
  <c r="Q8" i="5"/>
  <c r="S8" i="5" s="1"/>
  <c r="O8" i="5"/>
  <c r="M8" i="5"/>
  <c r="AL7" i="5"/>
  <c r="AK7" i="5"/>
  <c r="AI7" i="5"/>
  <c r="AG7" i="5"/>
  <c r="AE7" i="5"/>
  <c r="AC7" i="5"/>
  <c r="AA7" i="5"/>
  <c r="Y7" i="5"/>
  <c r="W7" i="5"/>
  <c r="U7" i="5"/>
  <c r="R7" i="5"/>
  <c r="T7" i="5" s="1"/>
  <c r="O7" i="5"/>
  <c r="M7" i="5"/>
  <c r="AL6" i="5"/>
  <c r="AK6" i="5"/>
  <c r="AI6" i="5"/>
  <c r="AG6" i="5"/>
  <c r="AE6" i="5"/>
  <c r="AC6" i="5"/>
  <c r="AA6" i="5"/>
  <c r="Y6" i="5"/>
  <c r="W6" i="5"/>
  <c r="U6" i="5"/>
  <c r="R6" i="5"/>
  <c r="T6" i="5" s="1"/>
  <c r="M6" i="5"/>
  <c r="AL5" i="5"/>
  <c r="AK5" i="5"/>
  <c r="AI5" i="5"/>
  <c r="AG5" i="5"/>
  <c r="AE5" i="5"/>
  <c r="AC5" i="5"/>
  <c r="AA5" i="5"/>
  <c r="Y5" i="5"/>
  <c r="W5" i="5"/>
  <c r="U5" i="5"/>
  <c r="T5" i="5"/>
  <c r="Q5" i="5"/>
  <c r="O5" i="5"/>
  <c r="M5" i="5"/>
  <c r="AL4" i="5"/>
  <c r="AK4" i="5"/>
  <c r="AI4" i="5"/>
  <c r="AG4" i="5"/>
  <c r="AE4" i="5"/>
  <c r="AC4" i="5"/>
  <c r="AA4" i="5"/>
  <c r="Y4" i="5"/>
  <c r="W4" i="5"/>
  <c r="U4" i="5"/>
  <c r="T4" i="5"/>
  <c r="Q4" i="5"/>
  <c r="O4" i="5"/>
  <c r="M4" i="5"/>
  <c r="AL3" i="5"/>
  <c r="AK3" i="5"/>
  <c r="AI3" i="5"/>
  <c r="AG3" i="5"/>
  <c r="AE3" i="5"/>
  <c r="AC3" i="5"/>
  <c r="AA3" i="5"/>
  <c r="Y3" i="5"/>
  <c r="W3" i="5"/>
  <c r="U3" i="5"/>
  <c r="T3" i="5"/>
  <c r="Q3" i="5"/>
  <c r="O3" i="5"/>
  <c r="M3" i="5"/>
  <c r="A54" i="4"/>
  <c r="A55" i="4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S9" i="5" l="1"/>
  <c r="S3" i="5"/>
  <c r="S4" i="5"/>
  <c r="S5" i="5"/>
  <c r="S10" i="5"/>
  <c r="S11" i="5"/>
  <c r="S12" i="5"/>
  <c r="S20" i="5"/>
  <c r="S21" i="5"/>
  <c r="S22" i="5"/>
  <c r="B54" i="4"/>
  <c r="B47" i="4"/>
  <c r="B5" i="4"/>
  <c r="B4" i="4"/>
  <c r="Q6" i="5"/>
  <c r="S6" i="5" s="1"/>
  <c r="Q7" i="5"/>
  <c r="S7" i="5" s="1"/>
  <c r="Q13" i="5"/>
  <c r="S13" i="5" s="1"/>
  <c r="Q14" i="5"/>
  <c r="S14" i="5" s="1"/>
  <c r="B22" i="5" l="1"/>
  <c r="B23" i="5" s="1"/>
  <c r="B52" i="4"/>
  <c r="B51" i="4"/>
  <c r="A6" i="4"/>
  <c r="B53" i="4"/>
  <c r="B24" i="5" l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6" i="4" l="1"/>
  <c r="M6" i="4"/>
  <c r="M48" i="4" s="1"/>
  <c r="D6" i="4"/>
  <c r="E6" i="4"/>
  <c r="H6" i="4"/>
  <c r="C6" i="4"/>
  <c r="J6" i="4"/>
  <c r="L6" i="4"/>
  <c r="I6" i="4"/>
  <c r="F6" i="4"/>
  <c r="K6" i="4"/>
  <c r="G6" i="4"/>
  <c r="P6" i="4"/>
  <c r="P7" i="4" s="1"/>
  <c r="N6" i="4"/>
  <c r="N7" i="4" s="1"/>
  <c r="O6" i="4"/>
  <c r="O7" i="4" s="1"/>
  <c r="J15" i="5" l="1"/>
  <c r="J60" i="5"/>
  <c r="J56" i="5"/>
  <c r="J52" i="5"/>
  <c r="J48" i="5"/>
  <c r="J44" i="5"/>
  <c r="J40" i="5"/>
  <c r="J36" i="5"/>
  <c r="J32" i="5"/>
  <c r="J28" i="5"/>
  <c r="J24" i="5"/>
  <c r="J20" i="5"/>
  <c r="J16" i="5"/>
  <c r="J61" i="5"/>
  <c r="J57" i="5"/>
  <c r="J53" i="5"/>
  <c r="J49" i="5"/>
  <c r="J45" i="5"/>
  <c r="J41" i="5"/>
  <c r="J37" i="5"/>
  <c r="J33" i="5"/>
  <c r="J29" i="5"/>
  <c r="J25" i="5"/>
  <c r="J21" i="5"/>
  <c r="J17" i="5"/>
  <c r="J62" i="5"/>
  <c r="J58" i="5"/>
  <c r="J54" i="5"/>
  <c r="J50" i="5"/>
  <c r="J46" i="5"/>
  <c r="J42" i="5"/>
  <c r="J38" i="5"/>
  <c r="J34" i="5"/>
  <c r="J30" i="5"/>
  <c r="J26" i="5"/>
  <c r="J22" i="5"/>
  <c r="J18" i="5"/>
  <c r="J63" i="5"/>
  <c r="J59" i="5"/>
  <c r="J55" i="5"/>
  <c r="J51" i="5"/>
  <c r="J47" i="5"/>
  <c r="J43" i="5"/>
  <c r="J39" i="5"/>
  <c r="J35" i="5"/>
  <c r="J31" i="5"/>
  <c r="J27" i="5"/>
  <c r="J23" i="5"/>
  <c r="J19" i="5"/>
  <c r="M7" i="4"/>
  <c r="B7" i="4"/>
  <c r="B48" i="4"/>
  <c r="K48" i="4"/>
  <c r="K7" i="4"/>
  <c r="I48" i="4"/>
  <c r="I7" i="4"/>
  <c r="J48" i="4"/>
  <c r="J7" i="4"/>
  <c r="H48" i="4"/>
  <c r="H7" i="4"/>
  <c r="D48" i="4"/>
  <c r="D7" i="4"/>
  <c r="G48" i="4"/>
  <c r="G7" i="4"/>
  <c r="F48" i="4"/>
  <c r="F7" i="4"/>
  <c r="L48" i="4"/>
  <c r="L7" i="4"/>
  <c r="C7" i="4"/>
  <c r="C48" i="4"/>
  <c r="E48" i="4"/>
  <c r="E7" i="4"/>
  <c r="N48" i="4"/>
  <c r="O48" i="4"/>
  <c r="P48" i="4"/>
  <c r="A8" i="4" l="1"/>
  <c r="A45" i="4"/>
  <c r="A43" i="4"/>
  <c r="A41" i="4"/>
  <c r="A39" i="4"/>
  <c r="A37" i="4"/>
  <c r="A35" i="4"/>
  <c r="A33" i="4"/>
  <c r="A31" i="4"/>
  <c r="A29" i="4"/>
  <c r="A27" i="4"/>
  <c r="A25" i="4"/>
  <c r="A23" i="4"/>
  <c r="A21" i="4"/>
  <c r="A19" i="4"/>
  <c r="A17" i="4"/>
  <c r="A15" i="4"/>
  <c r="A13" i="4"/>
  <c r="B13" i="4" s="1"/>
  <c r="A11" i="4"/>
  <c r="A46" i="4"/>
  <c r="A44" i="4"/>
  <c r="A42" i="4"/>
  <c r="A40" i="4"/>
  <c r="A38" i="4"/>
  <c r="A36" i="4"/>
  <c r="A34" i="4"/>
  <c r="A32" i="4"/>
  <c r="A30" i="4"/>
  <c r="A28" i="4"/>
  <c r="A26" i="4"/>
  <c r="A24" i="4"/>
  <c r="A22" i="4"/>
  <c r="A20" i="4"/>
  <c r="A18" i="4"/>
  <c r="A16" i="4"/>
  <c r="A14" i="4"/>
  <c r="A12" i="4"/>
  <c r="A10" i="4"/>
  <c r="A9" i="4"/>
  <c r="B8" i="4" l="1"/>
  <c r="D8" i="4"/>
  <c r="F8" i="4"/>
  <c r="H8" i="4"/>
  <c r="J8" i="4"/>
  <c r="L8" i="4"/>
  <c r="N8" i="4"/>
  <c r="P8" i="4"/>
  <c r="C8" i="4"/>
  <c r="E8" i="4"/>
  <c r="G8" i="4"/>
  <c r="I8" i="4"/>
  <c r="K8" i="4"/>
  <c r="M8" i="4"/>
  <c r="O8" i="4"/>
  <c r="M12" i="4"/>
  <c r="I12" i="4"/>
  <c r="E12" i="4"/>
  <c r="P12" i="4"/>
  <c r="L12" i="4"/>
  <c r="H12" i="4"/>
  <c r="D12" i="4"/>
  <c r="O12" i="4"/>
  <c r="K12" i="4"/>
  <c r="G12" i="4"/>
  <c r="C12" i="4"/>
  <c r="N12" i="4"/>
  <c r="J12" i="4"/>
  <c r="F12" i="4"/>
  <c r="B12" i="4"/>
  <c r="O10" i="4"/>
  <c r="K10" i="4"/>
  <c r="G10" i="4"/>
  <c r="C10" i="4"/>
  <c r="N10" i="4"/>
  <c r="J10" i="4"/>
  <c r="F10" i="4"/>
  <c r="B10" i="4"/>
  <c r="M10" i="4"/>
  <c r="I10" i="4"/>
  <c r="E10" i="4"/>
  <c r="P10" i="4"/>
  <c r="L10" i="4"/>
  <c r="H10" i="4"/>
  <c r="D10" i="4"/>
  <c r="O18" i="4"/>
  <c r="K18" i="4"/>
  <c r="G18" i="4"/>
  <c r="C18" i="4"/>
  <c r="N18" i="4"/>
  <c r="J18" i="4"/>
  <c r="F18" i="4"/>
  <c r="B18" i="4"/>
  <c r="M18" i="4"/>
  <c r="I18" i="4"/>
  <c r="E18" i="4"/>
  <c r="P18" i="4"/>
  <c r="L18" i="4"/>
  <c r="H18" i="4"/>
  <c r="D18" i="4"/>
  <c r="O26" i="4"/>
  <c r="K26" i="4"/>
  <c r="G26" i="4"/>
  <c r="C26" i="4"/>
  <c r="N26" i="4"/>
  <c r="J26" i="4"/>
  <c r="F26" i="4"/>
  <c r="B26" i="4"/>
  <c r="M26" i="4"/>
  <c r="I26" i="4"/>
  <c r="E26" i="4"/>
  <c r="P26" i="4"/>
  <c r="L26" i="4"/>
  <c r="H26" i="4"/>
  <c r="D26" i="4"/>
  <c r="O34" i="4"/>
  <c r="K34" i="4"/>
  <c r="G34" i="4"/>
  <c r="C34" i="4"/>
  <c r="N34" i="4"/>
  <c r="J34" i="4"/>
  <c r="F34" i="4"/>
  <c r="B34" i="4"/>
  <c r="M34" i="4"/>
  <c r="I34" i="4"/>
  <c r="E34" i="4"/>
  <c r="P34" i="4"/>
  <c r="L34" i="4"/>
  <c r="H34" i="4"/>
  <c r="D34" i="4"/>
  <c r="P15" i="4"/>
  <c r="L15" i="4"/>
  <c r="N15" i="4"/>
  <c r="J15" i="4"/>
  <c r="F15" i="4"/>
  <c r="B15" i="4"/>
  <c r="M15" i="4"/>
  <c r="I15" i="4"/>
  <c r="E15" i="4"/>
  <c r="D15" i="4"/>
  <c r="K15" i="4"/>
  <c r="C15" i="4"/>
  <c r="H15" i="4"/>
  <c r="O15" i="4"/>
  <c r="G15" i="4"/>
  <c r="N23" i="4"/>
  <c r="J23" i="4"/>
  <c r="P23" i="4"/>
  <c r="H23" i="4"/>
  <c r="D23" i="4"/>
  <c r="O23" i="4"/>
  <c r="K23" i="4"/>
  <c r="G23" i="4"/>
  <c r="C23" i="4"/>
  <c r="L23" i="4"/>
  <c r="F23" i="4"/>
  <c r="B23" i="4"/>
  <c r="M23" i="4"/>
  <c r="I23" i="4"/>
  <c r="E23" i="4"/>
  <c r="P31" i="4"/>
  <c r="L31" i="4"/>
  <c r="H31" i="4"/>
  <c r="D31" i="4"/>
  <c r="O31" i="4"/>
  <c r="K31" i="4"/>
  <c r="G31" i="4"/>
  <c r="C31" i="4"/>
  <c r="N31" i="4"/>
  <c r="J31" i="4"/>
  <c r="F31" i="4"/>
  <c r="B31" i="4"/>
  <c r="M31" i="4"/>
  <c r="I31" i="4"/>
  <c r="E31" i="4"/>
  <c r="P45" i="4"/>
  <c r="L45" i="4"/>
  <c r="H45" i="4"/>
  <c r="D45" i="4"/>
  <c r="O45" i="4"/>
  <c r="K45" i="4"/>
  <c r="G45" i="4"/>
  <c r="C45" i="4"/>
  <c r="N45" i="4"/>
  <c r="J45" i="4"/>
  <c r="F45" i="4"/>
  <c r="B45" i="4"/>
  <c r="M45" i="4"/>
  <c r="I45" i="4"/>
  <c r="E45" i="4"/>
  <c r="O37" i="4"/>
  <c r="K37" i="4"/>
  <c r="G37" i="4"/>
  <c r="C37" i="4"/>
  <c r="N37" i="4"/>
  <c r="J37" i="4"/>
  <c r="F37" i="4"/>
  <c r="B37" i="4"/>
  <c r="M37" i="4"/>
  <c r="I37" i="4"/>
  <c r="E37" i="4"/>
  <c r="P37" i="4"/>
  <c r="L37" i="4"/>
  <c r="H37" i="4"/>
  <c r="D37" i="4"/>
  <c r="P38" i="4"/>
  <c r="L38" i="4"/>
  <c r="H38" i="4"/>
  <c r="D38" i="4"/>
  <c r="O38" i="4"/>
  <c r="K38" i="4"/>
  <c r="G38" i="4"/>
  <c r="C38" i="4"/>
  <c r="N38" i="4"/>
  <c r="J38" i="4"/>
  <c r="F38" i="4"/>
  <c r="B38" i="4"/>
  <c r="M38" i="4"/>
  <c r="I38" i="4"/>
  <c r="E38" i="4"/>
  <c r="O16" i="4"/>
  <c r="K16" i="4"/>
  <c r="G16" i="4"/>
  <c r="C16" i="4"/>
  <c r="N16" i="4"/>
  <c r="M16" i="4"/>
  <c r="I16" i="4"/>
  <c r="E16" i="4"/>
  <c r="P16" i="4"/>
  <c r="L16" i="4"/>
  <c r="H16" i="4"/>
  <c r="D16" i="4"/>
  <c r="F16" i="4"/>
  <c r="J16" i="4"/>
  <c r="B16" i="4"/>
  <c r="M24" i="4"/>
  <c r="I24" i="4"/>
  <c r="E24" i="4"/>
  <c r="P24" i="4"/>
  <c r="L24" i="4"/>
  <c r="H24" i="4"/>
  <c r="D24" i="4"/>
  <c r="O24" i="4"/>
  <c r="K24" i="4"/>
  <c r="G24" i="4"/>
  <c r="C24" i="4"/>
  <c r="N24" i="4"/>
  <c r="J24" i="4"/>
  <c r="F24" i="4"/>
  <c r="B24" i="4"/>
  <c r="M32" i="4"/>
  <c r="I32" i="4"/>
  <c r="E32" i="4"/>
  <c r="P32" i="4"/>
  <c r="L32" i="4"/>
  <c r="H32" i="4"/>
  <c r="D32" i="4"/>
  <c r="O32" i="4"/>
  <c r="K32" i="4"/>
  <c r="G32" i="4"/>
  <c r="C32" i="4"/>
  <c r="N32" i="4"/>
  <c r="J32" i="4"/>
  <c r="F32" i="4"/>
  <c r="B32" i="4"/>
  <c r="N13" i="4"/>
  <c r="J13" i="4"/>
  <c r="F13" i="4"/>
  <c r="M13" i="4"/>
  <c r="I13" i="4"/>
  <c r="E13" i="4"/>
  <c r="P13" i="4"/>
  <c r="L13" i="4"/>
  <c r="H13" i="4"/>
  <c r="D13" i="4"/>
  <c r="O13" i="4"/>
  <c r="K13" i="4"/>
  <c r="G13" i="4"/>
  <c r="C13" i="4"/>
  <c r="N21" i="4"/>
  <c r="J21" i="4"/>
  <c r="F21" i="4"/>
  <c r="B21" i="4"/>
  <c r="M21" i="4"/>
  <c r="I21" i="4"/>
  <c r="E21" i="4"/>
  <c r="P21" i="4"/>
  <c r="L21" i="4"/>
  <c r="H21" i="4"/>
  <c r="D21" i="4"/>
  <c r="O21" i="4"/>
  <c r="K21" i="4"/>
  <c r="G21" i="4"/>
  <c r="C21" i="4"/>
  <c r="N29" i="4"/>
  <c r="J29" i="4"/>
  <c r="F29" i="4"/>
  <c r="B29" i="4"/>
  <c r="M29" i="4"/>
  <c r="I29" i="4"/>
  <c r="E29" i="4"/>
  <c r="P29" i="4"/>
  <c r="L29" i="4"/>
  <c r="H29" i="4"/>
  <c r="D29" i="4"/>
  <c r="O29" i="4"/>
  <c r="K29" i="4"/>
  <c r="G29" i="4"/>
  <c r="C29" i="4"/>
  <c r="M39" i="4"/>
  <c r="I39" i="4"/>
  <c r="E39" i="4"/>
  <c r="P39" i="4"/>
  <c r="L39" i="4"/>
  <c r="H39" i="4"/>
  <c r="D39" i="4"/>
  <c r="O39" i="4"/>
  <c r="K39" i="4"/>
  <c r="G39" i="4"/>
  <c r="C39" i="4"/>
  <c r="N39" i="4"/>
  <c r="J39" i="4"/>
  <c r="F39" i="4"/>
  <c r="B39" i="4"/>
  <c r="N40" i="4"/>
  <c r="J40" i="4"/>
  <c r="F40" i="4"/>
  <c r="B40" i="4"/>
  <c r="M40" i="4"/>
  <c r="E40" i="4"/>
  <c r="P40" i="4"/>
  <c r="L40" i="4"/>
  <c r="H40" i="4"/>
  <c r="D40" i="4"/>
  <c r="O40" i="4"/>
  <c r="K40" i="4"/>
  <c r="G40" i="4"/>
  <c r="C40" i="4"/>
  <c r="I40" i="4"/>
  <c r="M14" i="4"/>
  <c r="I14" i="4"/>
  <c r="E14" i="4"/>
  <c r="P14" i="4"/>
  <c r="L14" i="4"/>
  <c r="H14" i="4"/>
  <c r="D14" i="4"/>
  <c r="O14" i="4"/>
  <c r="K14" i="4"/>
  <c r="G14" i="4"/>
  <c r="C14" i="4"/>
  <c r="N14" i="4"/>
  <c r="J14" i="4"/>
  <c r="F14" i="4"/>
  <c r="B14" i="4"/>
  <c r="M22" i="4"/>
  <c r="I22" i="4"/>
  <c r="E22" i="4"/>
  <c r="P22" i="4"/>
  <c r="L22" i="4"/>
  <c r="H22" i="4"/>
  <c r="D22" i="4"/>
  <c r="O22" i="4"/>
  <c r="K22" i="4"/>
  <c r="G22" i="4"/>
  <c r="C22" i="4"/>
  <c r="N22" i="4"/>
  <c r="J22" i="4"/>
  <c r="F22" i="4"/>
  <c r="B22" i="4"/>
  <c r="M30" i="4"/>
  <c r="I30" i="4"/>
  <c r="E30" i="4"/>
  <c r="P30" i="4"/>
  <c r="L30" i="4"/>
  <c r="H30" i="4"/>
  <c r="D30" i="4"/>
  <c r="O30" i="4"/>
  <c r="K30" i="4"/>
  <c r="G30" i="4"/>
  <c r="C30" i="4"/>
  <c r="N30" i="4"/>
  <c r="J30" i="4"/>
  <c r="F30" i="4"/>
  <c r="B30" i="4"/>
  <c r="N11" i="4"/>
  <c r="J11" i="4"/>
  <c r="F11" i="4"/>
  <c r="B11" i="4"/>
  <c r="M11" i="4"/>
  <c r="I11" i="4"/>
  <c r="E11" i="4"/>
  <c r="P11" i="4"/>
  <c r="L11" i="4"/>
  <c r="H11" i="4"/>
  <c r="D11" i="4"/>
  <c r="O11" i="4"/>
  <c r="K11" i="4"/>
  <c r="G11" i="4"/>
  <c r="C11" i="4"/>
  <c r="P19" i="4"/>
  <c r="L19" i="4"/>
  <c r="H19" i="4"/>
  <c r="D19" i="4"/>
  <c r="O19" i="4"/>
  <c r="K19" i="4"/>
  <c r="G19" i="4"/>
  <c r="C19" i="4"/>
  <c r="J19" i="4"/>
  <c r="B19" i="4"/>
  <c r="I19" i="4"/>
  <c r="N19" i="4"/>
  <c r="F19" i="4"/>
  <c r="M19" i="4"/>
  <c r="E19" i="4"/>
  <c r="N27" i="4"/>
  <c r="J27" i="4"/>
  <c r="F27" i="4"/>
  <c r="B27" i="4"/>
  <c r="M27" i="4"/>
  <c r="I27" i="4"/>
  <c r="E27" i="4"/>
  <c r="P27" i="4"/>
  <c r="L27" i="4"/>
  <c r="H27" i="4"/>
  <c r="D27" i="4"/>
  <c r="O27" i="4"/>
  <c r="K27" i="4"/>
  <c r="G27" i="4"/>
  <c r="C27" i="4"/>
  <c r="N35" i="4"/>
  <c r="J35" i="4"/>
  <c r="F35" i="4"/>
  <c r="B35" i="4"/>
  <c r="M35" i="4"/>
  <c r="I35" i="4"/>
  <c r="E35" i="4"/>
  <c r="P35" i="4"/>
  <c r="L35" i="4"/>
  <c r="H35" i="4"/>
  <c r="D35" i="4"/>
  <c r="O35" i="4"/>
  <c r="K35" i="4"/>
  <c r="G35" i="4"/>
  <c r="C35" i="4"/>
  <c r="M41" i="4"/>
  <c r="I41" i="4"/>
  <c r="E41" i="4"/>
  <c r="P41" i="4"/>
  <c r="L41" i="4"/>
  <c r="H41" i="4"/>
  <c r="D41" i="4"/>
  <c r="O41" i="4"/>
  <c r="K41" i="4"/>
  <c r="G41" i="4"/>
  <c r="C41" i="4"/>
  <c r="N41" i="4"/>
  <c r="J41" i="4"/>
  <c r="F41" i="4"/>
  <c r="B41" i="4"/>
  <c r="N42" i="4"/>
  <c r="J42" i="4"/>
  <c r="F42" i="4"/>
  <c r="B42" i="4"/>
  <c r="M42" i="4"/>
  <c r="I42" i="4"/>
  <c r="E42" i="4"/>
  <c r="P42" i="4"/>
  <c r="L42" i="4"/>
  <c r="H42" i="4"/>
  <c r="D42" i="4"/>
  <c r="O42" i="4"/>
  <c r="K42" i="4"/>
  <c r="G42" i="4"/>
  <c r="C42" i="4"/>
  <c r="N9" i="4"/>
  <c r="J9" i="4"/>
  <c r="F9" i="4"/>
  <c r="B9" i="4"/>
  <c r="M9" i="4"/>
  <c r="I9" i="4"/>
  <c r="E9" i="4"/>
  <c r="P9" i="4"/>
  <c r="L9" i="4"/>
  <c r="H9" i="4"/>
  <c r="D9" i="4"/>
  <c r="O9" i="4"/>
  <c r="K9" i="4"/>
  <c r="G9" i="4"/>
  <c r="C9" i="4"/>
  <c r="O20" i="4"/>
  <c r="K20" i="4"/>
  <c r="M20" i="4"/>
  <c r="G20" i="4"/>
  <c r="C20" i="4"/>
  <c r="N20" i="4"/>
  <c r="J20" i="4"/>
  <c r="F20" i="4"/>
  <c r="B20" i="4"/>
  <c r="I20" i="4"/>
  <c r="E20" i="4"/>
  <c r="P20" i="4"/>
  <c r="L20" i="4"/>
  <c r="H20" i="4"/>
  <c r="D20" i="4"/>
  <c r="O28" i="4"/>
  <c r="K28" i="4"/>
  <c r="G28" i="4"/>
  <c r="C28" i="4"/>
  <c r="N28" i="4"/>
  <c r="J28" i="4"/>
  <c r="F28" i="4"/>
  <c r="B28" i="4"/>
  <c r="M28" i="4"/>
  <c r="I28" i="4"/>
  <c r="E28" i="4"/>
  <c r="P28" i="4"/>
  <c r="L28" i="4"/>
  <c r="H28" i="4"/>
  <c r="D28" i="4"/>
  <c r="O46" i="4"/>
  <c r="K46" i="4"/>
  <c r="G46" i="4"/>
  <c r="C46" i="4"/>
  <c r="N46" i="4"/>
  <c r="J46" i="4"/>
  <c r="F46" i="4"/>
  <c r="B46" i="4"/>
  <c r="M46" i="4"/>
  <c r="I46" i="4"/>
  <c r="E46" i="4"/>
  <c r="P46" i="4"/>
  <c r="L46" i="4"/>
  <c r="H46" i="4"/>
  <c r="D46" i="4"/>
  <c r="P17" i="4"/>
  <c r="L17" i="4"/>
  <c r="H17" i="4"/>
  <c r="D17" i="4"/>
  <c r="O17" i="4"/>
  <c r="K17" i="4"/>
  <c r="G17" i="4"/>
  <c r="C17" i="4"/>
  <c r="N17" i="4"/>
  <c r="J17" i="4"/>
  <c r="F17" i="4"/>
  <c r="B17" i="4"/>
  <c r="M17" i="4"/>
  <c r="I17" i="4"/>
  <c r="E17" i="4"/>
  <c r="P25" i="4"/>
  <c r="L25" i="4"/>
  <c r="M25" i="4"/>
  <c r="I25" i="4"/>
  <c r="J25" i="4"/>
  <c r="D25" i="4"/>
  <c r="H25" i="4"/>
  <c r="C25" i="4"/>
  <c r="N25" i="4"/>
  <c r="O25" i="4"/>
  <c r="K25" i="4"/>
  <c r="G25" i="4"/>
  <c r="F25" i="4"/>
  <c r="B25" i="4"/>
  <c r="E25" i="4"/>
  <c r="P33" i="4"/>
  <c r="L33" i="4"/>
  <c r="H33" i="4"/>
  <c r="D33" i="4"/>
  <c r="O33" i="4"/>
  <c r="K33" i="4"/>
  <c r="G33" i="4"/>
  <c r="C33" i="4"/>
  <c r="N33" i="4"/>
  <c r="J33" i="4"/>
  <c r="F33" i="4"/>
  <c r="B33" i="4"/>
  <c r="M33" i="4"/>
  <c r="I33" i="4"/>
  <c r="E33" i="4"/>
  <c r="P43" i="4"/>
  <c r="L43" i="4"/>
  <c r="H43" i="4"/>
  <c r="D43" i="4"/>
  <c r="M43" i="4"/>
  <c r="I43" i="4"/>
  <c r="E43" i="4"/>
  <c r="B43" i="4"/>
  <c r="N43" i="4"/>
  <c r="J43" i="4"/>
  <c r="F43" i="4"/>
  <c r="O43" i="4"/>
  <c r="K43" i="4"/>
  <c r="G43" i="4"/>
  <c r="C43" i="4"/>
  <c r="O44" i="4"/>
  <c r="K44" i="4"/>
  <c r="G44" i="4"/>
  <c r="C44" i="4"/>
  <c r="N44" i="4"/>
  <c r="J44" i="4"/>
  <c r="F44" i="4"/>
  <c r="B44" i="4"/>
  <c r="M44" i="4"/>
  <c r="I44" i="4"/>
  <c r="E44" i="4"/>
  <c r="P44" i="4"/>
  <c r="L44" i="4"/>
  <c r="H44" i="4"/>
  <c r="D44" i="4"/>
  <c r="L36" i="4"/>
  <c r="I36" i="4"/>
  <c r="F36" i="4"/>
  <c r="N36" i="4"/>
  <c r="O36" i="4"/>
  <c r="K36" i="4"/>
  <c r="G36" i="4"/>
  <c r="C36" i="4"/>
  <c r="H36" i="4"/>
  <c r="D36" i="4"/>
  <c r="P36" i="4"/>
  <c r="M36" i="4"/>
  <c r="E36" i="4"/>
  <c r="J36" i="4"/>
  <c r="B36" i="4"/>
</calcChain>
</file>

<file path=xl/sharedStrings.xml><?xml version="1.0" encoding="utf-8"?>
<sst xmlns="http://schemas.openxmlformats.org/spreadsheetml/2006/main" count="95" uniqueCount="91">
  <si>
    <t>Design Vehicle</t>
  </si>
  <si>
    <t>Number of Lanes</t>
  </si>
  <si>
    <t>Curve</t>
  </si>
  <si>
    <t>Min R:</t>
  </si>
  <si>
    <t>Maximum superelevation (sets minimum radius)</t>
  </si>
  <si>
    <t>P</t>
  </si>
  <si>
    <t>A-BUS</t>
  </si>
  <si>
    <t>MH</t>
  </si>
  <si>
    <t>P/T</t>
  </si>
  <si>
    <t>P/B</t>
  </si>
  <si>
    <t>MH/B</t>
  </si>
  <si>
    <t>Number of lanes</t>
  </si>
  <si>
    <t>U</t>
  </si>
  <si>
    <t>Z</t>
  </si>
  <si>
    <t>A</t>
  </si>
  <si>
    <t>L</t>
  </si>
  <si>
    <t>u</t>
  </si>
  <si>
    <t>Traveled Way for two lanes</t>
  </si>
  <si>
    <t>N</t>
  </si>
  <si>
    <t>Wc</t>
  </si>
  <si>
    <t>Width on curve</t>
  </si>
  <si>
    <t>Wn</t>
  </si>
  <si>
    <t>Width on tangent</t>
  </si>
  <si>
    <t>Traveled Way Widening</t>
  </si>
  <si>
    <t>Track width of design vehicle</t>
  </si>
  <si>
    <t>C</t>
  </si>
  <si>
    <t>Lateral clearance</t>
  </si>
  <si>
    <t>FA</t>
  </si>
  <si>
    <t>Width of front overhang of inner-lane vehicle</t>
  </si>
  <si>
    <t>Extra width allowance</t>
  </si>
  <si>
    <t xml:space="preserve"> = u + R - sqrt(R^2 - sum(Li^2))</t>
  </si>
  <si>
    <t xml:space="preserve"> = sqrt(R^2+A(2L+A)) - R</t>
  </si>
  <si>
    <t>CITY-BUS</t>
  </si>
  <si>
    <t xml:space="preserve"> = V/sqrt(R)</t>
  </si>
  <si>
    <t>track width on tangent - ft [m]</t>
  </si>
  <si>
    <t>front overhang of inner lane vehicle - ft [m]</t>
  </si>
  <si>
    <t>wheelbase of single unit or tractor - ft [m]</t>
  </si>
  <si>
    <t>Design Speed</t>
  </si>
  <si>
    <t>f (Metric)</t>
  </si>
  <si>
    <t>f (USC)</t>
  </si>
  <si>
    <t>Rmin (Metric)</t>
  </si>
  <si>
    <t>Rmin (USC)</t>
  </si>
  <si>
    <t>Counter</t>
  </si>
  <si>
    <t>SU-30 [9]</t>
  </si>
  <si>
    <t>SU-40 [12]</t>
  </si>
  <si>
    <t>BUS-40 [12]</t>
  </si>
  <si>
    <t>BUS-45 [14]</t>
  </si>
  <si>
    <t>WB-40 [12]</t>
  </si>
  <si>
    <t>WB-62 [19]</t>
  </si>
  <si>
    <t>WB-67 [20]</t>
  </si>
  <si>
    <t>u (m)</t>
  </si>
  <si>
    <t>u (ft)</t>
  </si>
  <si>
    <t>A (m)</t>
  </si>
  <si>
    <t>A (ft)</t>
  </si>
  <si>
    <t>L (m)</t>
  </si>
  <si>
    <t>L (ft)</t>
  </si>
  <si>
    <r>
      <t>S</t>
    </r>
    <r>
      <rPr>
        <sz val="10"/>
        <rFont val="Calibri"/>
        <family val="2"/>
      </rPr>
      <t>–</t>
    </r>
    <r>
      <rPr>
        <sz val="10"/>
        <rFont val="Arial"/>
        <family val="2"/>
      </rPr>
      <t>BUS-36 [11]</t>
    </r>
  </si>
  <si>
    <t>S–BUS-40 [12]</t>
  </si>
  <si>
    <t>Radius</t>
  </si>
  <si>
    <t>Widening</t>
  </si>
  <si>
    <t>WB-67D [20D]</t>
  </si>
  <si>
    <r>
      <t>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(m)</t>
    </r>
  </si>
  <si>
    <t>Name (Metric)</t>
  </si>
  <si>
    <t>Name (USC)</t>
  </si>
  <si>
    <r>
      <t>L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(m)</t>
    </r>
  </si>
  <si>
    <r>
      <t>L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 xml:space="preserve"> (ft)</t>
    </r>
  </si>
  <si>
    <r>
      <t>L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(ft)</t>
    </r>
  </si>
  <si>
    <r>
      <t>L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(m)</t>
    </r>
  </si>
  <si>
    <r>
      <t>L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(ft)</t>
    </r>
  </si>
  <si>
    <r>
      <t>L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 xml:space="preserve"> (m)</t>
    </r>
  </si>
  <si>
    <r>
      <t>L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 xml:space="preserve"> (ft)</t>
    </r>
  </si>
  <si>
    <r>
      <t>L</t>
    </r>
    <r>
      <rPr>
        <vertAlign val="subscript"/>
        <sz val="10"/>
        <rFont val="Arial"/>
        <family val="2"/>
      </rPr>
      <t>6</t>
    </r>
    <r>
      <rPr>
        <sz val="10"/>
        <rFont val="Arial"/>
        <family val="2"/>
      </rPr>
      <t xml:space="preserve"> (m)</t>
    </r>
  </si>
  <si>
    <r>
      <t>L</t>
    </r>
    <r>
      <rPr>
        <vertAlign val="subscript"/>
        <sz val="10"/>
        <rFont val="Arial"/>
        <family val="2"/>
      </rPr>
      <t>6</t>
    </r>
    <r>
      <rPr>
        <sz val="10"/>
        <rFont val="Arial"/>
        <family val="2"/>
      </rPr>
      <t xml:space="preserve"> (ft)</t>
    </r>
  </si>
  <si>
    <t>Des. Veh.</t>
  </si>
  <si>
    <r>
      <t>L</t>
    </r>
    <r>
      <rPr>
        <vertAlign val="subscript"/>
        <sz val="10"/>
        <rFont val="Arial"/>
        <family val="2"/>
      </rPr>
      <t>7</t>
    </r>
    <r>
      <rPr>
        <sz val="10"/>
        <rFont val="Arial"/>
        <family val="2"/>
      </rPr>
      <t xml:space="preserve"> (ft)</t>
    </r>
  </si>
  <si>
    <r>
      <t>L</t>
    </r>
    <r>
      <rPr>
        <vertAlign val="subscript"/>
        <sz val="10"/>
        <rFont val="Arial"/>
        <family val="2"/>
      </rPr>
      <t>7</t>
    </r>
    <r>
      <rPr>
        <sz val="10"/>
        <rFont val="Arial"/>
        <family val="2"/>
      </rPr>
      <t xml:space="preserve"> (m)</t>
    </r>
  </si>
  <si>
    <t>WB-92D [28D]</t>
  </si>
  <si>
    <t>WB-100T [30T]</t>
  </si>
  <si>
    <t>WB-109D [33D]</t>
  </si>
  <si>
    <t>US Customary units selected?</t>
  </si>
  <si>
    <r>
      <t>L</t>
    </r>
    <r>
      <rPr>
        <vertAlign val="subscript"/>
        <sz val="10"/>
        <rFont val="Arial"/>
        <family val="2"/>
      </rPr>
      <t>8</t>
    </r>
    <r>
      <rPr>
        <sz val="10"/>
        <rFont val="Arial"/>
        <family val="2"/>
      </rPr>
      <t xml:space="preserve"> (m)</t>
    </r>
  </si>
  <si>
    <r>
      <t>L</t>
    </r>
    <r>
      <rPr>
        <vertAlign val="subscript"/>
        <sz val="10"/>
        <rFont val="Arial"/>
        <family val="2"/>
      </rPr>
      <t>8</t>
    </r>
    <r>
      <rPr>
        <sz val="10"/>
        <rFont val="Arial"/>
        <family val="2"/>
      </rPr>
      <t xml:space="preserve"> (ft)</t>
    </r>
  </si>
  <si>
    <r>
      <t>L</t>
    </r>
    <r>
      <rPr>
        <vertAlign val="subscript"/>
        <sz val="10"/>
        <rFont val="Arial"/>
        <family val="2"/>
      </rPr>
      <t>9</t>
    </r>
    <r>
      <rPr>
        <sz val="10"/>
        <rFont val="Arial"/>
        <family val="2"/>
      </rPr>
      <t xml:space="preserve"> (m)</t>
    </r>
  </si>
  <si>
    <r>
      <t>L</t>
    </r>
    <r>
      <rPr>
        <vertAlign val="subscript"/>
        <sz val="10"/>
        <rFont val="Arial"/>
        <family val="2"/>
      </rPr>
      <t>9</t>
    </r>
    <r>
      <rPr>
        <sz val="10"/>
        <rFont val="Arial"/>
        <family val="2"/>
      </rPr>
      <t xml:space="preserve"> (ft)</t>
    </r>
  </si>
  <si>
    <r>
      <t>Σ L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(m2)</t>
    </r>
  </si>
  <si>
    <r>
      <t>Σ L</t>
    </r>
    <r>
      <rPr>
        <vertAlign val="subscript"/>
        <sz val="10"/>
        <rFont val="Arial"/>
        <family val="2"/>
      </rPr>
      <t>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(ft2)</t>
    </r>
  </si>
  <si>
    <t>See Green Book Sections 3.3.9 and 3.3.10</t>
  </si>
  <si>
    <t>w =</t>
  </si>
  <si>
    <t>Wc - Wn</t>
  </si>
  <si>
    <t>N(U+C)+(N-1)FA+Z</t>
  </si>
  <si>
    <t>Wc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</si>
</sst>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[&lt;10]General&quot; m&quot;;[&gt;10]General\ &quot;ft&quot;"/>
    <numFmt numFmtId="167" formatCode="[&lt;1.2]General&quot; m&quot;;[&gt;1.2]General\ &quot;ft&quot;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/>
      <right style="thin">
        <color indexed="23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2"/>
      </top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indexed="23"/>
      </right>
      <top/>
      <bottom style="medium">
        <color auto="1"/>
      </bottom>
      <diagonal/>
    </border>
    <border>
      <left/>
      <right style="thin">
        <color indexed="23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6" fontId="0" fillId="2" borderId="1" xfId="0" applyNumberForma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Fill="1" applyBorder="1"/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5" borderId="11" xfId="0" applyFill="1" applyBorder="1" applyAlignment="1">
      <alignment horizontal="center"/>
    </xf>
    <xf numFmtId="165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6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3" borderId="12" xfId="0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41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[&lt;1.2]General&quot; m&quot;;[&gt;1.2]General\ &quot;ft&quot;"/>
      <alignment horizontal="center" vertical="bottom" textRotation="0" wrapText="0" indent="0" justifyLastLine="0" shrinkToFit="0" readingOrder="0"/>
    </dxf>
    <dxf>
      <numFmt numFmtId="166" formatCode="[&lt;10]General&quot; m&quot;;[&gt;10]General\ &quot;ft&quot;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left style="thin">
          <color theme="4"/>
        </left>
        <vertical/>
        <horizontal/>
      </border>
    </dxf>
    <dxf>
      <border>
        <right style="hair">
          <color rgb="FFC0C0C0"/>
        </right>
        <bottom/>
      </border>
    </dxf>
    <dxf>
      <border>
        <top style="thin">
          <color rgb="FF808080"/>
        </top>
      </border>
    </dxf>
    <dxf>
      <font>
        <b val="0"/>
        <i val="0"/>
        <color theme="1" tint="0.499984740745262"/>
      </font>
      <fill>
        <patternFill>
          <bgColor theme="0" tint="-0.24994659260841701"/>
        </patternFill>
      </fill>
      <border>
        <bottom style="thin">
          <color theme="0" tint="-0.14996795556505021"/>
        </bottom>
      </border>
    </dxf>
    <dxf>
      <border>
        <right/>
        <vertical/>
        <horizontal/>
      </border>
    </dxf>
    <dxf>
      <font>
        <condense val="0"/>
        <extend val="0"/>
        <u/>
        <color indexed="10"/>
      </font>
    </dxf>
  </dxfs>
  <tableStyles count="0" defaultTableStyle="TableStyleMedium2" defaultPivotStyle="PivotStyleLight16"/>
  <colors>
    <mruColors>
      <color rgb="FFC0C0C0"/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Speeds" displayName="Speeds" ref="B21:G41" totalsRowShown="0" headerRowDxfId="34">
  <autoFilter ref="B21:G41"/>
  <tableColumns count="6">
    <tableColumn id="6" name="Counter" dataDxfId="33">
      <calculatedColumnFormula>IFERROR(OFFSET(B22,-1,0)+0,0)+IF(USC?,IF(ISNUMBER(G22),1,0),IF(ISNUMBER(F22),1,0))</calculatedColumnFormula>
    </tableColumn>
    <tableColumn id="1" name="Design Speed"/>
    <tableColumn id="2" name="f (Metric)"/>
    <tableColumn id="3" name="f (USC)"/>
    <tableColumn id="4" name="Rmin (Metric)" dataDxfId="32">
      <calculatedColumnFormula>IF(D22&gt;0,ROUND($C22^2/(127*(D22+_e)),-MAX(0,INT(LOG($C22^2/(127*(D22+_e))))-2)),"")</calculatedColumnFormula>
    </tableColumn>
    <tableColumn id="5" name="Rmin (USC)" dataDxfId="31">
      <calculatedColumnFormula>IF(E22&gt;0,ROUND($C22^2/(15*(E22+_e)),-MAX(0,INT(LOG($C22^2/(15*(E22+_e))))-2)),"")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5" name="C.values" displayName="C.values" ref="I2:J10" totalsRowShown="0" headerRowDxfId="30" dataDxfId="29">
  <autoFilter ref="I2:J10"/>
  <tableColumns count="2">
    <tableColumn id="1" name="Wn" dataDxfId="28"/>
    <tableColumn id="2" name="C" dataDxfId="2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1" name="Vehicles" displayName="Vehicles" ref="L2:AL22" totalsRowShown="0" headerRowDxfId="26">
  <autoFilter ref="L2:AL22"/>
  <tableColumns count="27">
    <tableColumn id="1" name="Des. Veh."/>
    <tableColumn id="6" name="u (m)" dataDxfId="25">
      <calculatedColumnFormula>ROUND(CONVERT(N3,"ft","m"),2)</calculatedColumnFormula>
    </tableColumn>
    <tableColumn id="2" name="u (ft)" dataDxfId="24"/>
    <tableColumn id="7" name="A (m)" dataDxfId="23">
      <calculatedColumnFormula>ROUND(CONVERT(P3,"ft","m"),2)</calculatedColumnFormula>
    </tableColumn>
    <tableColumn id="3" name="A (ft)" dataDxfId="22"/>
    <tableColumn id="8" name="L (m)" dataDxfId="21">
      <calculatedColumnFormula>ROUND(CONVERT(R3,"ft","m"),2)</calculatedColumnFormula>
    </tableColumn>
    <tableColumn id="4" name="L (ft)" dataDxfId="20"/>
    <tableColumn id="10" name="Σ Li2 (m2)" dataDxfId="19">
      <calculatedColumnFormula>SIGN(Q3)*Q3^2+SIGN(U3)*U3^2+SIGN(W3)*W3^2+SIGN(Y3)*Y3^2+SIGN(AA3)*AA3^2+SIGN(AC3)*AC3^2+SIGN(AE3)*AE3^2+SIGN(AG3)*AG3^2+SIGN(AI3)*AI3^2</calculatedColumnFormula>
    </tableColumn>
    <tableColumn id="11" name="Σ Li2 (ft2)" dataDxfId="18">
      <calculatedColumnFormula>SIGN(R3)*R3^2+SIGN(V3)*V3^2+SIGN(X3)*X3^2+SIGN(Z3)*Z3^2+SIGN(AB3)*AB3^2+SIGN(AD3)*AD3^2+SIGN(AF3)*AF3^2+SIGN(AH3)*AH3^2+SIGN(AJ3)*AJ3^2</calculatedColumnFormula>
    </tableColumn>
    <tableColumn id="9" name="L2 (m)" dataDxfId="17">
      <calculatedColumnFormula>ROUND(CONVERT(V3,"ft","m"),2)</calculatedColumnFormula>
    </tableColumn>
    <tableColumn id="5" name="L2 (ft)" dataDxfId="16"/>
    <tableColumn id="14" name="L3 (m)" dataDxfId="15">
      <calculatedColumnFormula>ROUND(CONVERT(X3,"ft","m"),2)</calculatedColumnFormula>
    </tableColumn>
    <tableColumn id="15" name="L3 (ft)" dataDxfId="14"/>
    <tableColumn id="16" name="L4 (m)" dataDxfId="13">
      <calculatedColumnFormula>ROUND(CONVERT(Z3,"ft","m"),2)</calculatedColumnFormula>
    </tableColumn>
    <tableColumn id="17" name="L4 (ft)" dataDxfId="12"/>
    <tableColumn id="18" name="L5 (m)" dataDxfId="11">
      <calculatedColumnFormula>ROUND(CONVERT(AB3,"ft","m"),2)</calculatedColumnFormula>
    </tableColumn>
    <tableColumn id="19" name="L5 (ft)" dataDxfId="10"/>
    <tableColumn id="20" name="L6 (m)" dataDxfId="9">
      <calculatedColumnFormula>ROUND(CONVERT(AD3,"ft","m"),2)</calculatedColumnFormula>
    </tableColumn>
    <tableColumn id="21" name="L6 (ft)" dataDxfId="8"/>
    <tableColumn id="23" name="L7 (m)" dataDxfId="7">
      <calculatedColumnFormula>ROUND(CONVERT(AF3,"ft","m"),2)</calculatedColumnFormula>
    </tableColumn>
    <tableColumn id="22" name="L7 (ft)" dataDxfId="6"/>
    <tableColumn id="24" name="L8 (m)" dataDxfId="5">
      <calculatedColumnFormula>ROUND(CONVERT(AH3,"ft","m"),2)</calculatedColumnFormula>
    </tableColumn>
    <tableColumn id="25" name="L8 (ft)" dataDxfId="4"/>
    <tableColumn id="26" name="L9 (m)" dataDxfId="3">
      <calculatedColumnFormula>ROUND(CONVERT(AJ3,"ft","m"),2)</calculatedColumnFormula>
    </tableColumn>
    <tableColumn id="27" name="L9 (ft)" dataDxfId="2"/>
    <tableColumn id="13" name="Name (Metric)" dataDxfId="1">
      <calculatedColumnFormula>TRIM(IFERROR(LEFT(L3,FIND("-",L3))&amp;SUBSTITUTE(REPLACE(L3,1,FIND("[",L3),""),"]",""),L3))</calculatedColumnFormula>
    </tableColumn>
    <tableColumn id="12" name="Name (USC)" dataDxfId="0">
      <calculatedColumnFormula>TRIM(IFERROR(LEFT(L3,FIND(" [",L3)),L3))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Radius.List" displayName="Radius.List" ref="I14:J63" totalsRowShown="0">
  <autoFilter ref="I14:J63"/>
  <tableColumns count="2">
    <tableColumn id="1" name="Radius"/>
    <tableColumn id="2" name="Widening">
      <calculatedColumnFormula>MAX(ROUND(_N*(((VLOOKUP(Type,Vehicles[],2+USC?,0))+I15-SQRT(I15^2-VLOOKUP(Type,Vehicles[],8+USC?,0)))+_C)+(_N-1)*(SQRT(I15^2+VLOOKUP(Type,Vehicles[],4+USC?,0)*(2*VLOOKUP(Type,Vehicles[],6+USC?,0)+VLOOKUP(Type,Vehicles[],4+USC?,0)))-I15)+IF(USC?,1,0.1)*(MAX(Widening!$B$6:$P$6)/SQRT(I15))-_N/2*_Wn,1),0)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"/>
    </sheetView>
  </sheetViews>
  <sheetFormatPr defaultColWidth="8.7109375" defaultRowHeight="12.75" x14ac:dyDescent="0.2"/>
  <cols>
    <col min="1" max="1" width="12.7109375" customWidth="1"/>
  </cols>
  <sheetData>
    <row r="1" spans="1:16" x14ac:dyDescent="0.2">
      <c r="A1" s="23" t="s">
        <v>47</v>
      </c>
      <c r="B1" s="13" t="s">
        <v>0</v>
      </c>
      <c r="C1" s="14"/>
      <c r="D1" s="15"/>
    </row>
    <row r="2" spans="1:16" x14ac:dyDescent="0.2">
      <c r="A2" s="2">
        <v>2</v>
      </c>
      <c r="B2" s="13" t="s">
        <v>1</v>
      </c>
      <c r="C2" s="14"/>
      <c r="D2" s="15"/>
    </row>
    <row r="3" spans="1:16" x14ac:dyDescent="0.2">
      <c r="A3" s="6">
        <v>22</v>
      </c>
      <c r="B3" s="16" t="s">
        <v>17</v>
      </c>
      <c r="C3" s="16"/>
      <c r="D3" s="16"/>
    </row>
    <row r="4" spans="1:16" x14ac:dyDescent="0.2">
      <c r="B4" s="18" t="str">
        <f>IF(OR(_Wn=5.4,_Wn=18),"WARNING!  ","")&amp;"Traveled Way width:  "&amp;_Wn&amp;IF(USC?," feet"," meters")&amp;IF(OR(_Wn=5.4,_Wn=18)," not described in Green Book","")</f>
        <v>Traveled Way width:  22 feet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x14ac:dyDescent="0.2">
      <c r="A5" s="1" t="s">
        <v>2</v>
      </c>
      <c r="B5" s="17" t="str">
        <f>"Design Speed ("&amp;IF(USC?,"MPH","km/h")&amp;")   **   Widening shown in "&amp;IF(USC?,"feet","meters")&amp;" for "&amp;VLOOKUP(Type,Vehicles[],MATCH("Name*",Vehicles[#Headers],0)+USC?,0)&amp;" design vehicle"&amp;IF(AND(Type="WB-62 [19]",_N=2,_Wn&lt;&gt;18,_Wn&lt;&gt;5.4),"   **   Table matches Green Book Table 3-26"&amp;IF(USC?,"b","a"),"")</f>
        <v>Design Speed (MPH)   **   Widening shown in feet for WB-40 design vehicle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3.5" thickBot="1" x14ac:dyDescent="0.25">
      <c r="A6" s="33" t="str">
        <f>"Radius ("&amp;IF(USC?,"ft","m")&amp;")"</f>
        <v>Radius (ft)</v>
      </c>
      <c r="B6" s="5">
        <f ca="1">IFERROR(VLOOKUP(IFERROR(INDEX(Speeds[Counter],MATCH(Min.Speed,Speeds[Design Speed],1)-IF(INDEX(IF(USC?,Speeds[f (USC)],Speeds[f (Metric)]),MATCH(Min.Speed,Speeds[Design Speed],1))&gt;0,1,0)),0)+COLUMN(B6)-COLUMN($A6),Speeds[],2,0),"")</f>
        <v>10</v>
      </c>
      <c r="C6" s="5">
        <f ca="1">IFERROR(VLOOKUP(IFERROR(INDEX(Speeds[Counter],MATCH(Min.Speed,Speeds[Design Speed],1)-IF(INDEX(IF(USC?,Speeds[f (USC)],Speeds[f (Metric)]),MATCH(Min.Speed,Speeds[Design Speed],1))&gt;0,1,0)),0)+COLUMN(C6)-COLUMN($A6),Speeds[],2,0),"")</f>
        <v>15</v>
      </c>
      <c r="D6" s="5">
        <f ca="1">IFERROR(VLOOKUP(IFERROR(INDEX(Speeds[Counter],MATCH(Min.Speed,Speeds[Design Speed],1)-IF(INDEX(IF(USC?,Speeds[f (USC)],Speeds[f (Metric)]),MATCH(Min.Speed,Speeds[Design Speed],1))&gt;0,1,0)),0)+COLUMN(D6)-COLUMN($A6),Speeds[],2,0),"")</f>
        <v>20</v>
      </c>
      <c r="E6" s="5">
        <f ca="1">IFERROR(VLOOKUP(IFERROR(INDEX(Speeds[Counter],MATCH(Min.Speed,Speeds[Design Speed],1)-IF(INDEX(IF(USC?,Speeds[f (USC)],Speeds[f (Metric)]),MATCH(Min.Speed,Speeds[Design Speed],1))&gt;0,1,0)),0)+COLUMN(E6)-COLUMN($A6),Speeds[],2,0),"")</f>
        <v>25</v>
      </c>
      <c r="F6" s="5">
        <f ca="1">IFERROR(VLOOKUP(IFERROR(INDEX(Speeds[Counter],MATCH(Min.Speed,Speeds[Design Speed],1)-IF(INDEX(IF(USC?,Speeds[f (USC)],Speeds[f (Metric)]),MATCH(Min.Speed,Speeds[Design Speed],1))&gt;0,1,0)),0)+COLUMN(F6)-COLUMN($A6),Speeds[],2,0),"")</f>
        <v>30</v>
      </c>
      <c r="G6" s="5">
        <f ca="1">IFERROR(VLOOKUP(IFERROR(INDEX(Speeds[Counter],MATCH(Min.Speed,Speeds[Design Speed],1)-IF(INDEX(IF(USC?,Speeds[f (USC)],Speeds[f (Metric)]),MATCH(Min.Speed,Speeds[Design Speed],1))&gt;0,1,0)),0)+COLUMN(G6)-COLUMN($A6),Speeds[],2,0),"")</f>
        <v>35</v>
      </c>
      <c r="H6" s="5">
        <f ca="1">IFERROR(VLOOKUP(IFERROR(INDEX(Speeds[Counter],MATCH(Min.Speed,Speeds[Design Speed],1)-IF(INDEX(IF(USC?,Speeds[f (USC)],Speeds[f (Metric)]),MATCH(Min.Speed,Speeds[Design Speed],1))&gt;0,1,0)),0)+COLUMN(H6)-COLUMN($A6),Speeds[],2,0),"")</f>
        <v>40</v>
      </c>
      <c r="I6" s="5">
        <f ca="1">IFERROR(VLOOKUP(IFERROR(INDEX(Speeds[Counter],MATCH(Min.Speed,Speeds[Design Speed],1)-IF(INDEX(IF(USC?,Speeds[f (USC)],Speeds[f (Metric)]),MATCH(Min.Speed,Speeds[Design Speed],1))&gt;0,1,0)),0)+COLUMN(I6)-COLUMN($A6),Speeds[],2,0),"")</f>
        <v>45</v>
      </c>
      <c r="J6" s="5">
        <f ca="1">IFERROR(VLOOKUP(IFERROR(INDEX(Speeds[Counter],MATCH(Min.Speed,Speeds[Design Speed],1)-IF(INDEX(IF(USC?,Speeds[f (USC)],Speeds[f (Metric)]),MATCH(Min.Speed,Speeds[Design Speed],1))&gt;0,1,0)),0)+COLUMN(J6)-COLUMN($A6),Speeds[],2,0),"")</f>
        <v>50</v>
      </c>
      <c r="K6" s="5">
        <f ca="1">IFERROR(VLOOKUP(IFERROR(INDEX(Speeds[Counter],MATCH(Min.Speed,Speeds[Design Speed],1)-IF(INDEX(IF(USC?,Speeds[f (USC)],Speeds[f (Metric)]),MATCH(Min.Speed,Speeds[Design Speed],1))&gt;0,1,0)),0)+COLUMN(K6)-COLUMN($A6),Speeds[],2,0),"")</f>
        <v>55</v>
      </c>
      <c r="L6" s="5">
        <f ca="1">IFERROR(VLOOKUP(IFERROR(INDEX(Speeds[Counter],MATCH(Min.Speed,Speeds[Design Speed],1)-IF(INDEX(IF(USC?,Speeds[f (USC)],Speeds[f (Metric)]),MATCH(Min.Speed,Speeds[Design Speed],1))&gt;0,1,0)),0)+COLUMN(L6)-COLUMN($A6),Speeds[],2,0),"")</f>
        <v>60</v>
      </c>
      <c r="M6" s="5">
        <f ca="1">IFERROR(VLOOKUP(IFERROR(INDEX(Speeds[Counter],MATCH(Min.Speed,Speeds[Design Speed],1)-IF(INDEX(IF(USC?,Speeds[f (USC)],Speeds[f (Metric)]),MATCH(Min.Speed,Speeds[Design Speed],1))&gt;0,1,0)),0)+COLUMN(M6)-COLUMN($A6),Speeds[],2,0),"")</f>
        <v>65</v>
      </c>
      <c r="N6" s="5">
        <f ca="1">IFERROR(VLOOKUP(IFERROR(INDEX(Speeds[Counter],MATCH(Min.Speed,Speeds[Design Speed],1)-IF(INDEX(IF(USC?,Speeds[f (USC)],Speeds[f (Metric)]),MATCH(Min.Speed,Speeds[Design Speed],1))&gt;0,1,0)),0)+COLUMN(N6)-COLUMN($A6),Speeds[],2,0),"")</f>
        <v>70</v>
      </c>
      <c r="O6" s="5">
        <f ca="1">IFERROR(VLOOKUP(IFERROR(INDEX(Speeds[Counter],MATCH(Min.Speed,Speeds[Design Speed],1)-IF(INDEX(IF(USC?,Speeds[f (USC)],Speeds[f (Metric)]),MATCH(Min.Speed,Speeds[Design Speed],1))&gt;0,1,0)),0)+COLUMN(O6)-COLUMN($A6),Speeds[],2,0),"")</f>
        <v>75</v>
      </c>
      <c r="P6" s="5">
        <f ca="1">IFERROR(VLOOKUP(IFERROR(INDEX(Speeds[Counter],MATCH(Min.Speed,Speeds[Design Speed],1)-IF(INDEX(IF(USC?,Speeds[f (USC)],Speeds[f (Metric)]),MATCH(Min.Speed,Speeds[Design Speed],1))&gt;0,1,0)),0)+COLUMN(P6)-COLUMN($A6),Speeds[],2,0),"")</f>
        <v>80</v>
      </c>
    </row>
    <row r="7" spans="1:16" ht="13.5" thickBot="1" x14ac:dyDescent="0.25">
      <c r="A7" s="32">
        <v>225</v>
      </c>
      <c r="B7" s="24">
        <f ca="1">IF(LEN(B$6)=0,"",IFERROR(MAX(ROUND(_N*(((VLOOKUP(Type,Vehicles[],2+USC?,0))+$A7-SQRT($A7^2-VLOOKUP(Type,Vehicles[],8+USC?,0)))+_C)+(_N-1)*(SQRT($A7^2+VLOOKUP(Type,Vehicles[],4+USC?,0)*(2*VLOOKUP(Type,Vehicles[],6+USC?,0)+VLOOKUP(Type,Vehicles[],4+USC?,0)))-$A7)+IF(USC?,1,0.1)*(B$6/SQRT($A7))-_N/2*_Wn,1),0),""))</f>
        <v>3.5</v>
      </c>
      <c r="C7" s="24">
        <f ca="1">IF(LEN(C$6)=0,"",IFERROR(MAX(ROUND(_N*(((VLOOKUP(Type,Vehicles[],2+USC?,0))+$A7-SQRT($A7^2-VLOOKUP(Type,Vehicles[],8+USC?,0)))+_C)+(_N-1)*(SQRT($A7^2+VLOOKUP(Type,Vehicles[],4+USC?,0)*(2*VLOOKUP(Type,Vehicles[],6+USC?,0)+VLOOKUP(Type,Vehicles[],4+USC?,0)))-$A7)+IF(USC?,1,0.1)*(C$6/SQRT($A7))-_N/2*_Wn,1),0),""))</f>
        <v>3.8</v>
      </c>
      <c r="D7" s="24">
        <f ca="1">IF(LEN(D$6)=0,"",IFERROR(MAX(ROUND(_N*(((VLOOKUP(Type,Vehicles[],2+USC?,0))+$A7-SQRT($A7^2-VLOOKUP(Type,Vehicles[],8+USC?,0)))+_C)+(_N-1)*(SQRT($A7^2+VLOOKUP(Type,Vehicles[],4+USC?,0)*(2*VLOOKUP(Type,Vehicles[],6+USC?,0)+VLOOKUP(Type,Vehicles[],4+USC?,0)))-$A7)+IF(USC?,1,0.1)*(D$6/SQRT($A7))-_N/2*_Wn,1),0),""))</f>
        <v>4.0999999999999996</v>
      </c>
      <c r="E7" s="24">
        <f ca="1">IF(LEN(E$6)=0,"",IFERROR(MAX(ROUND(_N*(((VLOOKUP(Type,Vehicles[],2+USC?,0))+$A7-SQRT($A7^2-VLOOKUP(Type,Vehicles[],8+USC?,0)))+_C)+(_N-1)*(SQRT($A7^2+VLOOKUP(Type,Vehicles[],4+USC?,0)*(2*VLOOKUP(Type,Vehicles[],6+USC?,0)+VLOOKUP(Type,Vehicles[],4+USC?,0)))-$A7)+IF(USC?,1,0.1)*(E$6/SQRT($A7))-_N/2*_Wn,1),0),""))</f>
        <v>4.5</v>
      </c>
      <c r="F7" s="24">
        <f ca="1">IF(LEN(F$6)=0,"",IFERROR(MAX(ROUND(_N*(((VLOOKUP(Type,Vehicles[],2+USC?,0))+$A7-SQRT($A7^2-VLOOKUP(Type,Vehicles[],8+USC?,0)))+_C)+(_N-1)*(SQRT($A7^2+VLOOKUP(Type,Vehicles[],4+USC?,0)*(2*VLOOKUP(Type,Vehicles[],6+USC?,0)+VLOOKUP(Type,Vehicles[],4+USC?,0)))-$A7)+IF(USC?,1,0.1)*(F$6/SQRT($A7))-_N/2*_Wn,1),0),""))</f>
        <v>4.8</v>
      </c>
      <c r="G7" s="24">
        <f ca="1">IF(LEN(G$6)=0,"",IFERROR(MAX(ROUND(_N*(((VLOOKUP(Type,Vehicles[],2+USC?,0))+$A7-SQRT($A7^2-VLOOKUP(Type,Vehicles[],8+USC?,0)))+_C)+(_N-1)*(SQRT($A7^2+VLOOKUP(Type,Vehicles[],4+USC?,0)*(2*VLOOKUP(Type,Vehicles[],6+USC?,0)+VLOOKUP(Type,Vehicles[],4+USC?,0)))-$A7)+IF(USC?,1,0.1)*(G$6/SQRT($A7))-_N/2*_Wn,1),0),""))</f>
        <v>5.0999999999999996</v>
      </c>
      <c r="H7" s="24">
        <f ca="1">IF(LEN(H$6)=0,"",IFERROR(MAX(ROUND(_N*(((VLOOKUP(Type,Vehicles[],2+USC?,0))+$A7-SQRT($A7^2-VLOOKUP(Type,Vehicles[],8+USC?,0)))+_C)+(_N-1)*(SQRT($A7^2+VLOOKUP(Type,Vehicles[],4+USC?,0)*(2*VLOOKUP(Type,Vehicles[],6+USC?,0)+VLOOKUP(Type,Vehicles[],4+USC?,0)))-$A7)+IF(USC?,1,0.1)*(H$6/SQRT($A7))-_N/2*_Wn,1),0),""))</f>
        <v>5.5</v>
      </c>
      <c r="I7" s="24">
        <f ca="1">IF(LEN(I$6)=0,"",IFERROR(MAX(ROUND(_N*(((VLOOKUP(Type,Vehicles[],2+USC?,0))+$A7-SQRT($A7^2-VLOOKUP(Type,Vehicles[],8+USC?,0)))+_C)+(_N-1)*(SQRT($A7^2+VLOOKUP(Type,Vehicles[],4+USC?,0)*(2*VLOOKUP(Type,Vehicles[],6+USC?,0)+VLOOKUP(Type,Vehicles[],4+USC?,0)))-$A7)+IF(USC?,1,0.1)*(I$6/SQRT($A7))-_N/2*_Wn,1),0),""))</f>
        <v>5.8</v>
      </c>
      <c r="J7" s="24">
        <f ca="1">IF(LEN(J$6)=0,"",IFERROR(MAX(ROUND(_N*(((VLOOKUP(Type,Vehicles[],2+USC?,0))+$A7-SQRT($A7^2-VLOOKUP(Type,Vehicles[],8+USC?,0)))+_C)+(_N-1)*(SQRT($A7^2+VLOOKUP(Type,Vehicles[],4+USC?,0)*(2*VLOOKUP(Type,Vehicles[],6+USC?,0)+VLOOKUP(Type,Vehicles[],4+USC?,0)))-$A7)+IF(USC?,1,0.1)*(J$6/SQRT($A7))-_N/2*_Wn,1),0),""))</f>
        <v>6.1</v>
      </c>
      <c r="K7" s="24">
        <f ca="1">IF(LEN(K$6)=0,"",IFERROR(MAX(ROUND(_N*(((VLOOKUP(Type,Vehicles[],2+USC?,0))+$A7-SQRT($A7^2-VLOOKUP(Type,Vehicles[],8+USC?,0)))+_C)+(_N-1)*(SQRT($A7^2+VLOOKUP(Type,Vehicles[],4+USC?,0)*(2*VLOOKUP(Type,Vehicles[],6+USC?,0)+VLOOKUP(Type,Vehicles[],4+USC?,0)))-$A7)+IF(USC?,1,0.1)*(K$6/SQRT($A7))-_N/2*_Wn,1),0),""))</f>
        <v>6.5</v>
      </c>
      <c r="L7" s="24">
        <f ca="1">IF(LEN(L$6)=0,"",IFERROR(MAX(ROUND(_N*(((VLOOKUP(Type,Vehicles[],2+USC?,0))+$A7-SQRT($A7^2-VLOOKUP(Type,Vehicles[],8+USC?,0)))+_C)+(_N-1)*(SQRT($A7^2+VLOOKUP(Type,Vehicles[],4+USC?,0)*(2*VLOOKUP(Type,Vehicles[],6+USC?,0)+VLOOKUP(Type,Vehicles[],4+USC?,0)))-$A7)+IF(USC?,1,0.1)*(L$6/SQRT($A7))-_N/2*_Wn,1),0),""))</f>
        <v>6.8</v>
      </c>
      <c r="M7" s="24">
        <f ca="1">IF(LEN(M$6)=0,"",IFERROR(MAX(ROUND(_N*(((VLOOKUP(Type,Vehicles[],2+USC?,0))+$A7-SQRT($A7^2-VLOOKUP(Type,Vehicles[],8+USC?,0)))+_C)+(_N-1)*(SQRT($A7^2+VLOOKUP(Type,Vehicles[],4+USC?,0)*(2*VLOOKUP(Type,Vehicles[],6+USC?,0)+VLOOKUP(Type,Vehicles[],4+USC?,0)))-$A7)+IF(USC?,1,0.1)*(M$6/SQRT($A7))-_N/2*_Wn,1),0),""))</f>
        <v>7.1</v>
      </c>
      <c r="N7" s="24">
        <f ca="1">IF(LEN(N$6)=0,"",IFERROR(MAX(ROUND(_N*(((VLOOKUP(Type,Vehicles[],2+USC?,0))+$A7-SQRT($A7^2-VLOOKUP(Type,Vehicles[],8+USC?,0)))+_C)+(_N-1)*(SQRT($A7^2+VLOOKUP(Type,Vehicles[],4+USC?,0)*(2*VLOOKUP(Type,Vehicles[],6+USC?,0)+VLOOKUP(Type,Vehicles[],4+USC?,0)))-$A7)+IF(USC?,1,0.1)*(N$6/SQRT($A7))-_N/2*_Wn,1),0),""))</f>
        <v>7.5</v>
      </c>
      <c r="O7" s="24">
        <f ca="1">IF(LEN(O$6)=0,"",IFERROR(MAX(ROUND(_N*(((VLOOKUP(Type,Vehicles[],2+USC?,0))+$A7-SQRT($A7^2-VLOOKUP(Type,Vehicles[],8+USC?,0)))+_C)+(_N-1)*(SQRT($A7^2+VLOOKUP(Type,Vehicles[],4+USC?,0)*(2*VLOOKUP(Type,Vehicles[],6+USC?,0)+VLOOKUP(Type,Vehicles[],4+USC?,0)))-$A7)+IF(USC?,1,0.1)*(O$6/SQRT($A7))-_N/2*_Wn,1),0),""))</f>
        <v>7.8</v>
      </c>
      <c r="P7" s="24">
        <f ca="1">IF(LEN(P$6)=0,"",IFERROR(MAX(ROUND(_N*(((VLOOKUP(Type,Vehicles[],2+USC?,0))+$A7-SQRT($A7^2-VLOOKUP(Type,Vehicles[],8+USC?,0)))+_C)+(_N-1)*(SQRT($A7^2+VLOOKUP(Type,Vehicles[],4+USC?,0)*(2*VLOOKUP(Type,Vehicles[],6+USC?,0)+VLOOKUP(Type,Vehicles[],4+USC?,0)))-$A7)+IF(USC?,1,0.1)*(P$6/SQRT($A7))-_N/2*_Wn,1),0),""))</f>
        <v>8.1</v>
      </c>
    </row>
    <row r="8" spans="1:16" ht="13.5" thickTop="1" x14ac:dyDescent="0.2">
      <c r="A8" s="22">
        <f ca="1">IFERROR(INDEX(Radius.List[Radius],ROW(A8)-ROW(A$6)-1+IF(LEN(Max.Radius)&gt;0,MATCH(Max.Radius,Radius.List[Radius],0)-1,IFERROR(MATCH(IF(USC?,1.6,0.5),Radius.List[Widening],1)-1,0))),"")</f>
        <v>1500</v>
      </c>
      <c r="B8" s="3">
        <f ca="1">IF($A8&lt;B$48,"",IFERROR(MAX(ROUND(_N*(((VLOOKUP(Type,Vehicles[],2+USC?,0))+$A8-SQRT($A8^2-VLOOKUP(Type,Vehicles[],8+USC?,0)))+_C)+(_N-1)*(SQRT($A8^2+VLOOKUP(Type,Vehicles[],4+USC?,0)*(2*VLOOKUP(Type,Vehicles[],6+USC?,0)+VLOOKUP(Type,Vehicles[],4+USC?,0)))-$A8)+IF(USC?,1,0.1)*(B$6/SQRT($A8))-_N/2*_Wn,1),0),""))</f>
        <v>0</v>
      </c>
      <c r="C8" s="3">
        <f ca="1">IF($A8&lt;C$48,"",IFERROR(MAX(ROUND(_N*(((VLOOKUP(Type,Vehicles[],2+USC?,0))+$A8-SQRT($A8^2-VLOOKUP(Type,Vehicles[],8+USC?,0)))+_C)+(_N-1)*(SQRT($A8^2+VLOOKUP(Type,Vehicles[],4+USC?,0)*(2*VLOOKUP(Type,Vehicles[],6+USC?,0)+VLOOKUP(Type,Vehicles[],4+USC?,0)))-$A8)+IF(USC?,1,0.1)*(C$6/SQRT($A8))-_N/2*_Wn,1),0),""))</f>
        <v>0</v>
      </c>
      <c r="D8" s="3">
        <f ca="1">IF($A8&lt;D$48,"",IFERROR(MAX(ROUND(_N*(((VLOOKUP(Type,Vehicles[],2+USC?,0))+$A8-SQRT($A8^2-VLOOKUP(Type,Vehicles[],8+USC?,0)))+_C)+(_N-1)*(SQRT($A8^2+VLOOKUP(Type,Vehicles[],4+USC?,0)*(2*VLOOKUP(Type,Vehicles[],6+USC?,0)+VLOOKUP(Type,Vehicles[],4+USC?,0)))-$A8)+IF(USC?,1,0.1)*(D$6/SQRT($A8))-_N/2*_Wn,1),0),""))</f>
        <v>0.1</v>
      </c>
      <c r="E8" s="3">
        <f ca="1">IF($A8&lt;E$48,"",IFERROR(MAX(ROUND(_N*(((VLOOKUP(Type,Vehicles[],2+USC?,0))+$A8-SQRT($A8^2-VLOOKUP(Type,Vehicles[],8+USC?,0)))+_C)+(_N-1)*(SQRT($A8^2+VLOOKUP(Type,Vehicles[],4+USC?,0)*(2*VLOOKUP(Type,Vehicles[],6+USC?,0)+VLOOKUP(Type,Vehicles[],4+USC?,0)))-$A8)+IF(USC?,1,0.1)*(E$6/SQRT($A8))-_N/2*_Wn,1),0),""))</f>
        <v>0.2</v>
      </c>
      <c r="F8" s="3">
        <f ca="1">IF($A8&lt;F$48,"",IFERROR(MAX(ROUND(_N*(((VLOOKUP(Type,Vehicles[],2+USC?,0))+$A8-SQRT($A8^2-VLOOKUP(Type,Vehicles[],8+USC?,0)))+_C)+(_N-1)*(SQRT($A8^2+VLOOKUP(Type,Vehicles[],4+USC?,0)*(2*VLOOKUP(Type,Vehicles[],6+USC?,0)+VLOOKUP(Type,Vehicles[],4+USC?,0)))-$A8)+IF(USC?,1,0.1)*(F$6/SQRT($A8))-_N/2*_Wn,1),0),""))</f>
        <v>0.3</v>
      </c>
      <c r="G8" s="3">
        <f ca="1">IF($A8&lt;G$48,"",IFERROR(MAX(ROUND(_N*(((VLOOKUP(Type,Vehicles[],2+USC?,0))+$A8-SQRT($A8^2-VLOOKUP(Type,Vehicles[],8+USC?,0)))+_C)+(_N-1)*(SQRT($A8^2+VLOOKUP(Type,Vehicles[],4+USC?,0)*(2*VLOOKUP(Type,Vehicles[],6+USC?,0)+VLOOKUP(Type,Vehicles[],4+USC?,0)))-$A8)+IF(USC?,1,0.1)*(G$6/SQRT($A8))-_N/2*_Wn,1),0),""))</f>
        <v>0.5</v>
      </c>
      <c r="H8" s="3">
        <f ca="1">IF($A8&lt;H$48,"",IFERROR(MAX(ROUND(_N*(((VLOOKUP(Type,Vehicles[],2+USC?,0))+$A8-SQRT($A8^2-VLOOKUP(Type,Vehicles[],8+USC?,0)))+_C)+(_N-1)*(SQRT($A8^2+VLOOKUP(Type,Vehicles[],4+USC?,0)*(2*VLOOKUP(Type,Vehicles[],6+USC?,0)+VLOOKUP(Type,Vehicles[],4+USC?,0)))-$A8)+IF(USC?,1,0.1)*(H$6/SQRT($A8))-_N/2*_Wn,1),0),""))</f>
        <v>0.6</v>
      </c>
      <c r="I8" s="3">
        <f ca="1">IF($A8&lt;I$48,"",IFERROR(MAX(ROUND(_N*(((VLOOKUP(Type,Vehicles[],2+USC?,0))+$A8-SQRT($A8^2-VLOOKUP(Type,Vehicles[],8+USC?,0)))+_C)+(_N-1)*(SQRT($A8^2+VLOOKUP(Type,Vehicles[],4+USC?,0)*(2*VLOOKUP(Type,Vehicles[],6+USC?,0)+VLOOKUP(Type,Vehicles[],4+USC?,0)))-$A8)+IF(USC?,1,0.1)*(I$6/SQRT($A8))-_N/2*_Wn,1),0),""))</f>
        <v>0.7</v>
      </c>
      <c r="J8" s="3">
        <f ca="1">IF($A8&lt;J$48,"",IFERROR(MAX(ROUND(_N*(((VLOOKUP(Type,Vehicles[],2+USC?,0))+$A8-SQRT($A8^2-VLOOKUP(Type,Vehicles[],8+USC?,0)))+_C)+(_N-1)*(SQRT($A8^2+VLOOKUP(Type,Vehicles[],4+USC?,0)*(2*VLOOKUP(Type,Vehicles[],6+USC?,0)+VLOOKUP(Type,Vehicles[],4+USC?,0)))-$A8)+IF(USC?,1,0.1)*(J$6/SQRT($A8))-_N/2*_Wn,1),0),""))</f>
        <v>0.9</v>
      </c>
      <c r="K8" s="3">
        <f ca="1">IF($A8&lt;K$48,"",IFERROR(MAX(ROUND(_N*(((VLOOKUP(Type,Vehicles[],2+USC?,0))+$A8-SQRT($A8^2-VLOOKUP(Type,Vehicles[],8+USC?,0)))+_C)+(_N-1)*(SQRT($A8^2+VLOOKUP(Type,Vehicles[],4+USC?,0)*(2*VLOOKUP(Type,Vehicles[],6+USC?,0)+VLOOKUP(Type,Vehicles[],4+USC?,0)))-$A8)+IF(USC?,1,0.1)*(K$6/SQRT($A8))-_N/2*_Wn,1),0),""))</f>
        <v>1</v>
      </c>
      <c r="L8" s="3">
        <f ca="1">IF($A8&lt;L$48,"",IFERROR(MAX(ROUND(_N*(((VLOOKUP(Type,Vehicles[],2+USC?,0))+$A8-SQRT($A8^2-VLOOKUP(Type,Vehicles[],8+USC?,0)))+_C)+(_N-1)*(SQRT($A8^2+VLOOKUP(Type,Vehicles[],4+USC?,0)*(2*VLOOKUP(Type,Vehicles[],6+USC?,0)+VLOOKUP(Type,Vehicles[],4+USC?,0)))-$A8)+IF(USC?,1,0.1)*(L$6/SQRT($A8))-_N/2*_Wn,1),0),""))</f>
        <v>1.1000000000000001</v>
      </c>
      <c r="M8" s="3">
        <f ca="1">IF($A8&lt;M$48,"",IFERROR(MAX(ROUND(_N*(((VLOOKUP(Type,Vehicles[],2+USC?,0))+$A8-SQRT($A8^2-VLOOKUP(Type,Vehicles[],8+USC?,0)))+_C)+(_N-1)*(SQRT($A8^2+VLOOKUP(Type,Vehicles[],4+USC?,0)*(2*VLOOKUP(Type,Vehicles[],6+USC?,0)+VLOOKUP(Type,Vehicles[],4+USC?,0)))-$A8)+IF(USC?,1,0.1)*(M$6/SQRT($A8))-_N/2*_Wn,1),0),""))</f>
        <v>1.2</v>
      </c>
      <c r="N8" s="3">
        <f ca="1">IF($A8&lt;N$48,"",IFERROR(MAX(ROUND(_N*(((VLOOKUP(Type,Vehicles[],2+USC?,0))+$A8-SQRT($A8^2-VLOOKUP(Type,Vehicles[],8+USC?,0)))+_C)+(_N-1)*(SQRT($A8^2+VLOOKUP(Type,Vehicles[],4+USC?,0)*(2*VLOOKUP(Type,Vehicles[],6+USC?,0)+VLOOKUP(Type,Vehicles[],4+USC?,0)))-$A8)+IF(USC?,1,0.1)*(N$6/SQRT($A8))-_N/2*_Wn,1),0),""))</f>
        <v>1.4</v>
      </c>
      <c r="O8" s="3" t="str">
        <f ca="1">IF($A8&lt;O$48,"",IFERROR(MAX(ROUND(_N*(((VLOOKUP(Type,Vehicles[],2+USC?,0))+$A8-SQRT($A8^2-VLOOKUP(Type,Vehicles[],8+USC?,0)))+_C)+(_N-1)*(SQRT($A8^2+VLOOKUP(Type,Vehicles[],4+USC?,0)*(2*VLOOKUP(Type,Vehicles[],6+USC?,0)+VLOOKUP(Type,Vehicles[],4+USC?,0)))-$A8)+IF(USC?,1,0.1)*(O$6/SQRT($A8))-_N/2*_Wn,1),0),""))</f>
        <v/>
      </c>
      <c r="P8" s="3" t="str">
        <f ca="1">IF($A8&lt;P$48,"",IFERROR(MAX(ROUND(_N*(((VLOOKUP(Type,Vehicles[],2+USC?,0))+$A8-SQRT($A8^2-VLOOKUP(Type,Vehicles[],8+USC?,0)))+_C)+(_N-1)*(SQRT($A8^2+VLOOKUP(Type,Vehicles[],4+USC?,0)*(2*VLOOKUP(Type,Vehicles[],6+USC?,0)+VLOOKUP(Type,Vehicles[],4+USC?,0)))-$A8)+IF(USC?,1,0.1)*(P$6/SQRT($A8))-_N/2*_Wn,1),0),""))</f>
        <v/>
      </c>
    </row>
    <row r="9" spans="1:16" x14ac:dyDescent="0.2">
      <c r="A9" s="22">
        <f ca="1">IFERROR(INDEX(Radius.List[Radius],ROW(A9)-ROW(A$6)-1+IF(LEN(Max.Radius)&gt;0,MATCH(Max.Radius,Radius.List[Radius],0)-1,IFERROR(MATCH(IF(USC?,1.6,0.5),Radius.List[Widening],1)-1,0))),"")</f>
        <v>1250</v>
      </c>
      <c r="B9" s="3">
        <f ca="1">IF($A9&lt;B$48,"",IFERROR(MAX(ROUND(_N*(((VLOOKUP(Type,Vehicles[],2+USC?,0))+$A9-SQRT($A9^2-VLOOKUP(Type,Vehicles[],8+USC?,0)))+_C)+(_N-1)*(SQRT($A9^2+VLOOKUP(Type,Vehicles[],4+USC?,0)*(2*VLOOKUP(Type,Vehicles[],6+USC?,0)+VLOOKUP(Type,Vehicles[],4+USC?,0)))-$A9)+IF(USC?,1,0.1)*(B$6/SQRT($A9))-_N/2*_Wn,1),0),""))</f>
        <v>0</v>
      </c>
      <c r="C9" s="3">
        <f ca="1">IF($A9&lt;C$48,"",IFERROR(MAX(ROUND(_N*(((VLOOKUP(Type,Vehicles[],2+USC?,0))+$A9-SQRT($A9^2-VLOOKUP(Type,Vehicles[],8+USC?,0)))+_C)+(_N-1)*(SQRT($A9^2+VLOOKUP(Type,Vehicles[],4+USC?,0)*(2*VLOOKUP(Type,Vehicles[],6+USC?,0)+VLOOKUP(Type,Vehicles[],4+USC?,0)))-$A9)+IF(USC?,1,0.1)*(C$6/SQRT($A9))-_N/2*_Wn,1),0),""))</f>
        <v>0.1</v>
      </c>
      <c r="D9" s="3">
        <f ca="1">IF($A9&lt;D$48,"",IFERROR(MAX(ROUND(_N*(((VLOOKUP(Type,Vehicles[],2+USC?,0))+$A9-SQRT($A9^2-VLOOKUP(Type,Vehicles[],8+USC?,0)))+_C)+(_N-1)*(SQRT($A9^2+VLOOKUP(Type,Vehicles[],4+USC?,0)*(2*VLOOKUP(Type,Vehicles[],6+USC?,0)+VLOOKUP(Type,Vehicles[],4+USC?,0)))-$A9)+IF(USC?,1,0.1)*(D$6/SQRT($A9))-_N/2*_Wn,1),0),""))</f>
        <v>0.2</v>
      </c>
      <c r="E9" s="3">
        <f ca="1">IF($A9&lt;E$48,"",IFERROR(MAX(ROUND(_N*(((VLOOKUP(Type,Vehicles[],2+USC?,0))+$A9-SQRT($A9^2-VLOOKUP(Type,Vehicles[],8+USC?,0)))+_C)+(_N-1)*(SQRT($A9^2+VLOOKUP(Type,Vehicles[],4+USC?,0)*(2*VLOOKUP(Type,Vehicles[],6+USC?,0)+VLOOKUP(Type,Vehicles[],4+USC?,0)))-$A9)+IF(USC?,1,0.1)*(E$6/SQRT($A9))-_N/2*_Wn,1),0),""))</f>
        <v>0.4</v>
      </c>
      <c r="F9" s="3">
        <f ca="1">IF($A9&lt;F$48,"",IFERROR(MAX(ROUND(_N*(((VLOOKUP(Type,Vehicles[],2+USC?,0))+$A9-SQRT($A9^2-VLOOKUP(Type,Vehicles[],8+USC?,0)))+_C)+(_N-1)*(SQRT($A9^2+VLOOKUP(Type,Vehicles[],4+USC?,0)*(2*VLOOKUP(Type,Vehicles[],6+USC?,0)+VLOOKUP(Type,Vehicles[],4+USC?,0)))-$A9)+IF(USC?,1,0.1)*(F$6/SQRT($A9))-_N/2*_Wn,1),0),""))</f>
        <v>0.5</v>
      </c>
      <c r="G9" s="3">
        <f ca="1">IF($A9&lt;G$48,"",IFERROR(MAX(ROUND(_N*(((VLOOKUP(Type,Vehicles[],2+USC?,0))+$A9-SQRT($A9^2-VLOOKUP(Type,Vehicles[],8+USC?,0)))+_C)+(_N-1)*(SQRT($A9^2+VLOOKUP(Type,Vehicles[],4+USC?,0)*(2*VLOOKUP(Type,Vehicles[],6+USC?,0)+VLOOKUP(Type,Vehicles[],4+USC?,0)))-$A9)+IF(USC?,1,0.1)*(G$6/SQRT($A9))-_N/2*_Wn,1),0),""))</f>
        <v>0.7</v>
      </c>
      <c r="H9" s="3">
        <f ca="1">IF($A9&lt;H$48,"",IFERROR(MAX(ROUND(_N*(((VLOOKUP(Type,Vehicles[],2+USC?,0))+$A9-SQRT($A9^2-VLOOKUP(Type,Vehicles[],8+USC?,0)))+_C)+(_N-1)*(SQRT($A9^2+VLOOKUP(Type,Vehicles[],4+USC?,0)*(2*VLOOKUP(Type,Vehicles[],6+USC?,0)+VLOOKUP(Type,Vehicles[],4+USC?,0)))-$A9)+IF(USC?,1,0.1)*(H$6/SQRT($A9))-_N/2*_Wn,1),0),""))</f>
        <v>0.8</v>
      </c>
      <c r="I9" s="3">
        <f ca="1">IF($A9&lt;I$48,"",IFERROR(MAX(ROUND(_N*(((VLOOKUP(Type,Vehicles[],2+USC?,0))+$A9-SQRT($A9^2-VLOOKUP(Type,Vehicles[],8+USC?,0)))+_C)+(_N-1)*(SQRT($A9^2+VLOOKUP(Type,Vehicles[],4+USC?,0)*(2*VLOOKUP(Type,Vehicles[],6+USC?,0)+VLOOKUP(Type,Vehicles[],4+USC?,0)))-$A9)+IF(USC?,1,0.1)*(I$6/SQRT($A9))-_N/2*_Wn,1),0),""))</f>
        <v>1</v>
      </c>
      <c r="J9" s="3">
        <f ca="1">IF($A9&lt;J$48,"",IFERROR(MAX(ROUND(_N*(((VLOOKUP(Type,Vehicles[],2+USC?,0))+$A9-SQRT($A9^2-VLOOKUP(Type,Vehicles[],8+USC?,0)))+_C)+(_N-1)*(SQRT($A9^2+VLOOKUP(Type,Vehicles[],4+USC?,0)*(2*VLOOKUP(Type,Vehicles[],6+USC?,0)+VLOOKUP(Type,Vehicles[],4+USC?,0)))-$A9)+IF(USC?,1,0.1)*(J$6/SQRT($A9))-_N/2*_Wn,1),0),""))</f>
        <v>1.1000000000000001</v>
      </c>
      <c r="K9" s="3">
        <f ca="1">IF($A9&lt;K$48,"",IFERROR(MAX(ROUND(_N*(((VLOOKUP(Type,Vehicles[],2+USC?,0))+$A9-SQRT($A9^2-VLOOKUP(Type,Vehicles[],8+USC?,0)))+_C)+(_N-1)*(SQRT($A9^2+VLOOKUP(Type,Vehicles[],4+USC?,0)*(2*VLOOKUP(Type,Vehicles[],6+USC?,0)+VLOOKUP(Type,Vehicles[],4+USC?,0)))-$A9)+IF(USC?,1,0.1)*(K$6/SQRT($A9))-_N/2*_Wn,1),0),""))</f>
        <v>1.2</v>
      </c>
      <c r="L9" s="3">
        <f ca="1">IF($A9&lt;L$48,"",IFERROR(MAX(ROUND(_N*(((VLOOKUP(Type,Vehicles[],2+USC?,0))+$A9-SQRT($A9^2-VLOOKUP(Type,Vehicles[],8+USC?,0)))+_C)+(_N-1)*(SQRT($A9^2+VLOOKUP(Type,Vehicles[],4+USC?,0)*(2*VLOOKUP(Type,Vehicles[],6+USC?,0)+VLOOKUP(Type,Vehicles[],4+USC?,0)))-$A9)+IF(USC?,1,0.1)*(L$6/SQRT($A9))-_N/2*_Wn,1),0),""))</f>
        <v>1.4</v>
      </c>
      <c r="M9" s="3">
        <f ca="1">IF($A9&lt;M$48,"",IFERROR(MAX(ROUND(_N*(((VLOOKUP(Type,Vehicles[],2+USC?,0))+$A9-SQRT($A9^2-VLOOKUP(Type,Vehicles[],8+USC?,0)))+_C)+(_N-1)*(SQRT($A9^2+VLOOKUP(Type,Vehicles[],4+USC?,0)*(2*VLOOKUP(Type,Vehicles[],6+USC?,0)+VLOOKUP(Type,Vehicles[],4+USC?,0)))-$A9)+IF(USC?,1,0.1)*(M$6/SQRT($A9))-_N/2*_Wn,1),0),""))</f>
        <v>1.5</v>
      </c>
      <c r="N9" s="3" t="str">
        <f ca="1">IF($A9&lt;N$48,"",IFERROR(MAX(ROUND(_N*(((VLOOKUP(Type,Vehicles[],2+USC?,0))+$A9-SQRT($A9^2-VLOOKUP(Type,Vehicles[],8+USC?,0)))+_C)+(_N-1)*(SQRT($A9^2+VLOOKUP(Type,Vehicles[],4+USC?,0)*(2*VLOOKUP(Type,Vehicles[],6+USC?,0)+VLOOKUP(Type,Vehicles[],4+USC?,0)))-$A9)+IF(USC?,1,0.1)*(N$6/SQRT($A9))-_N/2*_Wn,1),0),""))</f>
        <v/>
      </c>
      <c r="O9" s="3" t="str">
        <f ca="1">IF($A9&lt;O$48,"",IFERROR(MAX(ROUND(_N*(((VLOOKUP(Type,Vehicles[],2+USC?,0))+$A9-SQRT($A9^2-VLOOKUP(Type,Vehicles[],8+USC?,0)))+_C)+(_N-1)*(SQRT($A9^2+VLOOKUP(Type,Vehicles[],4+USC?,0)*(2*VLOOKUP(Type,Vehicles[],6+USC?,0)+VLOOKUP(Type,Vehicles[],4+USC?,0)))-$A9)+IF(USC?,1,0.1)*(O$6/SQRT($A9))-_N/2*_Wn,1),0),""))</f>
        <v/>
      </c>
      <c r="P9" s="3" t="str">
        <f ca="1">IF($A9&lt;P$48,"",IFERROR(MAX(ROUND(_N*(((VLOOKUP(Type,Vehicles[],2+USC?,0))+$A9-SQRT($A9^2-VLOOKUP(Type,Vehicles[],8+USC?,0)))+_C)+(_N-1)*(SQRT($A9^2+VLOOKUP(Type,Vehicles[],4+USC?,0)*(2*VLOOKUP(Type,Vehicles[],6+USC?,0)+VLOOKUP(Type,Vehicles[],4+USC?,0)))-$A9)+IF(USC?,1,0.1)*(P$6/SQRT($A9))-_N/2*_Wn,1),0),""))</f>
        <v/>
      </c>
    </row>
    <row r="10" spans="1:16" x14ac:dyDescent="0.2">
      <c r="A10" s="22">
        <f ca="1">IFERROR(INDEX(Radius.List[Radius],ROW(A10)-ROW(A$6)-1+IF(LEN(Max.Radius)&gt;0,MATCH(Max.Radius,Radius.List[Radius],0)-1,IFERROR(MATCH(IF(USC?,1.6,0.5),Radius.List[Widening],1)-1,0))),"")</f>
        <v>1000</v>
      </c>
      <c r="B10" s="4">
        <f ca="1">IF($A10&lt;B$48,"",IFERROR(MAX(ROUND(_N*(((VLOOKUP(Type,Vehicles[],2+USC?,0))+$A10-SQRT($A10^2-VLOOKUP(Type,Vehicles[],8+USC?,0)))+_C)+(_N-1)*(SQRT($A10^2+VLOOKUP(Type,Vehicles[],4+USC?,0)*(2*VLOOKUP(Type,Vehicles[],6+USC?,0)+VLOOKUP(Type,Vehicles[],4+USC?,0)))-$A10)+IF(USC?,1,0.1)*(B$6/SQRT($A10))-_N/2*_Wn,1),0),""))</f>
        <v>0.2</v>
      </c>
      <c r="C10" s="4">
        <f ca="1">IF($A10&lt;C$48,"",IFERROR(MAX(ROUND(_N*(((VLOOKUP(Type,Vehicles[],2+USC?,0))+$A10-SQRT($A10^2-VLOOKUP(Type,Vehicles[],8+USC?,0)))+_C)+(_N-1)*(SQRT($A10^2+VLOOKUP(Type,Vehicles[],4+USC?,0)*(2*VLOOKUP(Type,Vehicles[],6+USC?,0)+VLOOKUP(Type,Vehicles[],4+USC?,0)))-$A10)+IF(USC?,1,0.1)*(C$6/SQRT($A10))-_N/2*_Wn,1),0),""))</f>
        <v>0.3</v>
      </c>
      <c r="D10" s="4">
        <f ca="1">IF($A10&lt;D$48,"",IFERROR(MAX(ROUND(_N*(((VLOOKUP(Type,Vehicles[],2+USC?,0))+$A10-SQRT($A10^2-VLOOKUP(Type,Vehicles[],8+USC?,0)))+_C)+(_N-1)*(SQRT($A10^2+VLOOKUP(Type,Vehicles[],4+USC?,0)*(2*VLOOKUP(Type,Vehicles[],6+USC?,0)+VLOOKUP(Type,Vehicles[],4+USC?,0)))-$A10)+IF(USC?,1,0.1)*(D$6/SQRT($A10))-_N/2*_Wn,1),0),""))</f>
        <v>0.5</v>
      </c>
      <c r="E10" s="4">
        <f ca="1">IF($A10&lt;E$48,"",IFERROR(MAX(ROUND(_N*(((VLOOKUP(Type,Vehicles[],2+USC?,0))+$A10-SQRT($A10^2-VLOOKUP(Type,Vehicles[],8+USC?,0)))+_C)+(_N-1)*(SQRT($A10^2+VLOOKUP(Type,Vehicles[],4+USC?,0)*(2*VLOOKUP(Type,Vehicles[],6+USC?,0)+VLOOKUP(Type,Vehicles[],4+USC?,0)))-$A10)+IF(USC?,1,0.1)*(E$6/SQRT($A10))-_N/2*_Wn,1),0),""))</f>
        <v>0.6</v>
      </c>
      <c r="F10" s="4">
        <f ca="1">IF($A10&lt;F$48,"",IFERROR(MAX(ROUND(_N*(((VLOOKUP(Type,Vehicles[],2+USC?,0))+$A10-SQRT($A10^2-VLOOKUP(Type,Vehicles[],8+USC?,0)))+_C)+(_N-1)*(SQRT($A10^2+VLOOKUP(Type,Vehicles[],4+USC?,0)*(2*VLOOKUP(Type,Vehicles[],6+USC?,0)+VLOOKUP(Type,Vehicles[],4+USC?,0)))-$A10)+IF(USC?,1,0.1)*(F$6/SQRT($A10))-_N/2*_Wn,1),0),""))</f>
        <v>0.8</v>
      </c>
      <c r="G10" s="4">
        <f ca="1">IF($A10&lt;G$48,"",IFERROR(MAX(ROUND(_N*(((VLOOKUP(Type,Vehicles[],2+USC?,0))+$A10-SQRT($A10^2-VLOOKUP(Type,Vehicles[],8+USC?,0)))+_C)+(_N-1)*(SQRT($A10^2+VLOOKUP(Type,Vehicles[],4+USC?,0)*(2*VLOOKUP(Type,Vehicles[],6+USC?,0)+VLOOKUP(Type,Vehicles[],4+USC?,0)))-$A10)+IF(USC?,1,0.1)*(G$6/SQRT($A10))-_N/2*_Wn,1),0),""))</f>
        <v>1</v>
      </c>
      <c r="H10" s="4">
        <f ca="1">IF($A10&lt;H$48,"",IFERROR(MAX(ROUND(_N*(((VLOOKUP(Type,Vehicles[],2+USC?,0))+$A10-SQRT($A10^2-VLOOKUP(Type,Vehicles[],8+USC?,0)))+_C)+(_N-1)*(SQRT($A10^2+VLOOKUP(Type,Vehicles[],4+USC?,0)*(2*VLOOKUP(Type,Vehicles[],6+USC?,0)+VLOOKUP(Type,Vehicles[],4+USC?,0)))-$A10)+IF(USC?,1,0.1)*(H$6/SQRT($A10))-_N/2*_Wn,1),0),""))</f>
        <v>1.1000000000000001</v>
      </c>
      <c r="I10" s="4">
        <f ca="1">IF($A10&lt;I$48,"",IFERROR(MAX(ROUND(_N*(((VLOOKUP(Type,Vehicles[],2+USC?,0))+$A10-SQRT($A10^2-VLOOKUP(Type,Vehicles[],8+USC?,0)))+_C)+(_N-1)*(SQRT($A10^2+VLOOKUP(Type,Vehicles[],4+USC?,0)*(2*VLOOKUP(Type,Vehicles[],6+USC?,0)+VLOOKUP(Type,Vehicles[],4+USC?,0)))-$A10)+IF(USC?,1,0.1)*(I$6/SQRT($A10))-_N/2*_Wn,1),0),""))</f>
        <v>1.3</v>
      </c>
      <c r="J10" s="4">
        <f ca="1">IF($A10&lt;J$48,"",IFERROR(MAX(ROUND(_N*(((VLOOKUP(Type,Vehicles[],2+USC?,0))+$A10-SQRT($A10^2-VLOOKUP(Type,Vehicles[],8+USC?,0)))+_C)+(_N-1)*(SQRT($A10^2+VLOOKUP(Type,Vehicles[],4+USC?,0)*(2*VLOOKUP(Type,Vehicles[],6+USC?,0)+VLOOKUP(Type,Vehicles[],4+USC?,0)))-$A10)+IF(USC?,1,0.1)*(J$6/SQRT($A10))-_N/2*_Wn,1),0),""))</f>
        <v>1.4</v>
      </c>
      <c r="K10" s="4">
        <f ca="1">IF($A10&lt;K$48,"",IFERROR(MAX(ROUND(_N*(((VLOOKUP(Type,Vehicles[],2+USC?,0))+$A10-SQRT($A10^2-VLOOKUP(Type,Vehicles[],8+USC?,0)))+_C)+(_N-1)*(SQRT($A10^2+VLOOKUP(Type,Vehicles[],4+USC?,0)*(2*VLOOKUP(Type,Vehicles[],6+USC?,0)+VLOOKUP(Type,Vehicles[],4+USC?,0)))-$A10)+IF(USC?,1,0.1)*(K$6/SQRT($A10))-_N/2*_Wn,1),0),""))</f>
        <v>1.6</v>
      </c>
      <c r="L10" s="4">
        <f ca="1">IF($A10&lt;L$48,"",IFERROR(MAX(ROUND(_N*(((VLOOKUP(Type,Vehicles[],2+USC?,0))+$A10-SQRT($A10^2-VLOOKUP(Type,Vehicles[],8+USC?,0)))+_C)+(_N-1)*(SQRT($A10^2+VLOOKUP(Type,Vehicles[],4+USC?,0)*(2*VLOOKUP(Type,Vehicles[],6+USC?,0)+VLOOKUP(Type,Vehicles[],4+USC?,0)))-$A10)+IF(USC?,1,0.1)*(L$6/SQRT($A10))-_N/2*_Wn,1),0),""))</f>
        <v>1.7</v>
      </c>
      <c r="M10" s="4" t="str">
        <f ca="1">IF($A10&lt;M$48,"",IFERROR(MAX(ROUND(_N*(((VLOOKUP(Type,Vehicles[],2+USC?,0))+$A10-SQRT($A10^2-VLOOKUP(Type,Vehicles[],8+USC?,0)))+_C)+(_N-1)*(SQRT($A10^2+VLOOKUP(Type,Vehicles[],4+USC?,0)*(2*VLOOKUP(Type,Vehicles[],6+USC?,0)+VLOOKUP(Type,Vehicles[],4+USC?,0)))-$A10)+IF(USC?,1,0.1)*(M$6/SQRT($A10))-_N/2*_Wn,1),0),""))</f>
        <v/>
      </c>
      <c r="N10" s="4" t="str">
        <f ca="1">IF($A10&lt;N$48,"",IFERROR(MAX(ROUND(_N*(((VLOOKUP(Type,Vehicles[],2+USC?,0))+$A10-SQRT($A10^2-VLOOKUP(Type,Vehicles[],8+USC?,0)))+_C)+(_N-1)*(SQRT($A10^2+VLOOKUP(Type,Vehicles[],4+USC?,0)*(2*VLOOKUP(Type,Vehicles[],6+USC?,0)+VLOOKUP(Type,Vehicles[],4+USC?,0)))-$A10)+IF(USC?,1,0.1)*(N$6/SQRT($A10))-_N/2*_Wn,1),0),""))</f>
        <v/>
      </c>
      <c r="O10" s="4" t="str">
        <f ca="1">IF($A10&lt;O$48,"",IFERROR(MAX(ROUND(_N*(((VLOOKUP(Type,Vehicles[],2+USC?,0))+$A10-SQRT($A10^2-VLOOKUP(Type,Vehicles[],8+USC?,0)))+_C)+(_N-1)*(SQRT($A10^2+VLOOKUP(Type,Vehicles[],4+USC?,0)*(2*VLOOKUP(Type,Vehicles[],6+USC?,0)+VLOOKUP(Type,Vehicles[],4+USC?,0)))-$A10)+IF(USC?,1,0.1)*(O$6/SQRT($A10))-_N/2*_Wn,1),0),""))</f>
        <v/>
      </c>
      <c r="P10" s="4" t="str">
        <f ca="1">IF($A10&lt;P$48,"",IFERROR(MAX(ROUND(_N*(((VLOOKUP(Type,Vehicles[],2+USC?,0))+$A10-SQRT($A10^2-VLOOKUP(Type,Vehicles[],8+USC?,0)))+_C)+(_N-1)*(SQRT($A10^2+VLOOKUP(Type,Vehicles[],4+USC?,0)*(2*VLOOKUP(Type,Vehicles[],6+USC?,0)+VLOOKUP(Type,Vehicles[],4+USC?,0)))-$A10)+IF(USC?,1,0.1)*(P$6/SQRT($A10))-_N/2*_Wn,1),0),""))</f>
        <v/>
      </c>
    </row>
    <row r="11" spans="1:16" x14ac:dyDescent="0.2">
      <c r="A11" s="22">
        <f ca="1">IFERROR(INDEX(Radius.List[Radius],ROW(A11)-ROW(A$6)-1+IF(LEN(Max.Radius)&gt;0,MATCH(Max.Radius,Radius.List[Radius],0)-1,IFERROR(MATCH(IF(USC?,1.6,0.5),Radius.List[Widening],1)-1,0))),"")</f>
        <v>900</v>
      </c>
      <c r="B11" s="4">
        <f ca="1">IF($A11&lt;B$48,"",IFERROR(MAX(ROUND(_N*(((VLOOKUP(Type,Vehicles[],2+USC?,0))+$A11-SQRT($A11^2-VLOOKUP(Type,Vehicles[],8+USC?,0)))+_C)+(_N-1)*(SQRT($A11^2+VLOOKUP(Type,Vehicles[],4+USC?,0)*(2*VLOOKUP(Type,Vehicles[],6+USC?,0)+VLOOKUP(Type,Vehicles[],4+USC?,0)))-$A11)+IF(USC?,1,0.1)*(B$6/SQRT($A11))-_N/2*_Wn,1),0),""))</f>
        <v>0.3</v>
      </c>
      <c r="C11" s="4">
        <f ca="1">IF($A11&lt;C$48,"",IFERROR(MAX(ROUND(_N*(((VLOOKUP(Type,Vehicles[],2+USC?,0))+$A11-SQRT($A11^2-VLOOKUP(Type,Vehicles[],8+USC?,0)))+_C)+(_N-1)*(SQRT($A11^2+VLOOKUP(Type,Vehicles[],4+USC?,0)*(2*VLOOKUP(Type,Vehicles[],6+USC?,0)+VLOOKUP(Type,Vehicles[],4+USC?,0)))-$A11)+IF(USC?,1,0.1)*(C$6/SQRT($A11))-_N/2*_Wn,1),0),""))</f>
        <v>0.4</v>
      </c>
      <c r="D11" s="4">
        <f ca="1">IF($A11&lt;D$48,"",IFERROR(MAX(ROUND(_N*(((VLOOKUP(Type,Vehicles[],2+USC?,0))+$A11-SQRT($A11^2-VLOOKUP(Type,Vehicles[],8+USC?,0)))+_C)+(_N-1)*(SQRT($A11^2+VLOOKUP(Type,Vehicles[],4+USC?,0)*(2*VLOOKUP(Type,Vehicles[],6+USC?,0)+VLOOKUP(Type,Vehicles[],4+USC?,0)))-$A11)+IF(USC?,1,0.1)*(D$6/SQRT($A11))-_N/2*_Wn,1),0),""))</f>
        <v>0.6</v>
      </c>
      <c r="E11" s="4">
        <f ca="1">IF($A11&lt;E$48,"",IFERROR(MAX(ROUND(_N*(((VLOOKUP(Type,Vehicles[],2+USC?,0))+$A11-SQRT($A11^2-VLOOKUP(Type,Vehicles[],8+USC?,0)))+_C)+(_N-1)*(SQRT($A11^2+VLOOKUP(Type,Vehicles[],4+USC?,0)*(2*VLOOKUP(Type,Vehicles[],6+USC?,0)+VLOOKUP(Type,Vehicles[],4+USC?,0)))-$A11)+IF(USC?,1,0.1)*(E$6/SQRT($A11))-_N/2*_Wn,1),0),""))</f>
        <v>0.8</v>
      </c>
      <c r="F11" s="4">
        <f ca="1">IF($A11&lt;F$48,"",IFERROR(MAX(ROUND(_N*(((VLOOKUP(Type,Vehicles[],2+USC?,0))+$A11-SQRT($A11^2-VLOOKUP(Type,Vehicles[],8+USC?,0)))+_C)+(_N-1)*(SQRT($A11^2+VLOOKUP(Type,Vehicles[],4+USC?,0)*(2*VLOOKUP(Type,Vehicles[],6+USC?,0)+VLOOKUP(Type,Vehicles[],4+USC?,0)))-$A11)+IF(USC?,1,0.1)*(F$6/SQRT($A11))-_N/2*_Wn,1),0),""))</f>
        <v>0.9</v>
      </c>
      <c r="G11" s="4">
        <f ca="1">IF($A11&lt;G$48,"",IFERROR(MAX(ROUND(_N*(((VLOOKUP(Type,Vehicles[],2+USC?,0))+$A11-SQRT($A11^2-VLOOKUP(Type,Vehicles[],8+USC?,0)))+_C)+(_N-1)*(SQRT($A11^2+VLOOKUP(Type,Vehicles[],4+USC?,0)*(2*VLOOKUP(Type,Vehicles[],6+USC?,0)+VLOOKUP(Type,Vehicles[],4+USC?,0)))-$A11)+IF(USC?,1,0.1)*(G$6/SQRT($A11))-_N/2*_Wn,1),0),""))</f>
        <v>1.1000000000000001</v>
      </c>
      <c r="H11" s="4">
        <f ca="1">IF($A11&lt;H$48,"",IFERROR(MAX(ROUND(_N*(((VLOOKUP(Type,Vehicles[],2+USC?,0))+$A11-SQRT($A11^2-VLOOKUP(Type,Vehicles[],8+USC?,0)))+_C)+(_N-1)*(SQRT($A11^2+VLOOKUP(Type,Vehicles[],4+USC?,0)*(2*VLOOKUP(Type,Vehicles[],6+USC?,0)+VLOOKUP(Type,Vehicles[],4+USC?,0)))-$A11)+IF(USC?,1,0.1)*(H$6/SQRT($A11))-_N/2*_Wn,1),0),""))</f>
        <v>1.3</v>
      </c>
      <c r="I11" s="4">
        <f ca="1">IF($A11&lt;I$48,"",IFERROR(MAX(ROUND(_N*(((VLOOKUP(Type,Vehicles[],2+USC?,0))+$A11-SQRT($A11^2-VLOOKUP(Type,Vehicles[],8+USC?,0)))+_C)+(_N-1)*(SQRT($A11^2+VLOOKUP(Type,Vehicles[],4+USC?,0)*(2*VLOOKUP(Type,Vehicles[],6+USC?,0)+VLOOKUP(Type,Vehicles[],4+USC?,0)))-$A11)+IF(USC?,1,0.1)*(I$6/SQRT($A11))-_N/2*_Wn,1),0),""))</f>
        <v>1.4</v>
      </c>
      <c r="J11" s="4">
        <f ca="1">IF($A11&lt;J$48,"",IFERROR(MAX(ROUND(_N*(((VLOOKUP(Type,Vehicles[],2+USC?,0))+$A11-SQRT($A11^2-VLOOKUP(Type,Vehicles[],8+USC?,0)))+_C)+(_N-1)*(SQRT($A11^2+VLOOKUP(Type,Vehicles[],4+USC?,0)*(2*VLOOKUP(Type,Vehicles[],6+USC?,0)+VLOOKUP(Type,Vehicles[],4+USC?,0)))-$A11)+IF(USC?,1,0.1)*(J$6/SQRT($A11))-_N/2*_Wn,1),0),""))</f>
        <v>1.6</v>
      </c>
      <c r="K11" s="4">
        <f ca="1">IF($A11&lt;K$48,"",IFERROR(MAX(ROUND(_N*(((VLOOKUP(Type,Vehicles[],2+USC?,0))+$A11-SQRT($A11^2-VLOOKUP(Type,Vehicles[],8+USC?,0)))+_C)+(_N-1)*(SQRT($A11^2+VLOOKUP(Type,Vehicles[],4+USC?,0)*(2*VLOOKUP(Type,Vehicles[],6+USC?,0)+VLOOKUP(Type,Vehicles[],4+USC?,0)))-$A11)+IF(USC?,1,0.1)*(K$6/SQRT($A11))-_N/2*_Wn,1),0),""))</f>
        <v>1.8</v>
      </c>
      <c r="L11" s="4" t="str">
        <f ca="1">IF($A11&lt;L$48,"",IFERROR(MAX(ROUND(_N*(((VLOOKUP(Type,Vehicles[],2+USC?,0))+$A11-SQRT($A11^2-VLOOKUP(Type,Vehicles[],8+USC?,0)))+_C)+(_N-1)*(SQRT($A11^2+VLOOKUP(Type,Vehicles[],4+USC?,0)*(2*VLOOKUP(Type,Vehicles[],6+USC?,0)+VLOOKUP(Type,Vehicles[],4+USC?,0)))-$A11)+IF(USC?,1,0.1)*(L$6/SQRT($A11))-_N/2*_Wn,1),0),""))</f>
        <v/>
      </c>
      <c r="M11" s="4" t="str">
        <f ca="1">IF($A11&lt;M$48,"",IFERROR(MAX(ROUND(_N*(((VLOOKUP(Type,Vehicles[],2+USC?,0))+$A11-SQRT($A11^2-VLOOKUP(Type,Vehicles[],8+USC?,0)))+_C)+(_N-1)*(SQRT($A11^2+VLOOKUP(Type,Vehicles[],4+USC?,0)*(2*VLOOKUP(Type,Vehicles[],6+USC?,0)+VLOOKUP(Type,Vehicles[],4+USC?,0)))-$A11)+IF(USC?,1,0.1)*(M$6/SQRT($A11))-_N/2*_Wn,1),0),""))</f>
        <v/>
      </c>
      <c r="N11" s="4" t="str">
        <f ca="1">IF($A11&lt;N$48,"",IFERROR(MAX(ROUND(_N*(((VLOOKUP(Type,Vehicles[],2+USC?,0))+$A11-SQRT($A11^2-VLOOKUP(Type,Vehicles[],8+USC?,0)))+_C)+(_N-1)*(SQRT($A11^2+VLOOKUP(Type,Vehicles[],4+USC?,0)*(2*VLOOKUP(Type,Vehicles[],6+USC?,0)+VLOOKUP(Type,Vehicles[],4+USC?,0)))-$A11)+IF(USC?,1,0.1)*(N$6/SQRT($A11))-_N/2*_Wn,1),0),""))</f>
        <v/>
      </c>
      <c r="O11" s="4" t="str">
        <f ca="1">IF($A11&lt;O$48,"",IFERROR(MAX(ROUND(_N*(((VLOOKUP(Type,Vehicles[],2+USC?,0))+$A11-SQRT($A11^2-VLOOKUP(Type,Vehicles[],8+USC?,0)))+_C)+(_N-1)*(SQRT($A11^2+VLOOKUP(Type,Vehicles[],4+USC?,0)*(2*VLOOKUP(Type,Vehicles[],6+USC?,0)+VLOOKUP(Type,Vehicles[],4+USC?,0)))-$A11)+IF(USC?,1,0.1)*(O$6/SQRT($A11))-_N/2*_Wn,1),0),""))</f>
        <v/>
      </c>
      <c r="P11" s="4" t="str">
        <f ca="1">IF($A11&lt;P$48,"",IFERROR(MAX(ROUND(_N*(((VLOOKUP(Type,Vehicles[],2+USC?,0))+$A11-SQRT($A11^2-VLOOKUP(Type,Vehicles[],8+USC?,0)))+_C)+(_N-1)*(SQRT($A11^2+VLOOKUP(Type,Vehicles[],4+USC?,0)*(2*VLOOKUP(Type,Vehicles[],6+USC?,0)+VLOOKUP(Type,Vehicles[],4+USC?,0)))-$A11)+IF(USC?,1,0.1)*(P$6/SQRT($A11))-_N/2*_Wn,1),0),""))</f>
        <v/>
      </c>
    </row>
    <row r="12" spans="1:16" x14ac:dyDescent="0.2">
      <c r="A12" s="22">
        <f ca="1">IFERROR(INDEX(Radius.List[Radius],ROW(A12)-ROW(A$6)-1+IF(LEN(Max.Radius)&gt;0,MATCH(Max.Radius,Radius.List[Radius],0)-1,IFERROR(MATCH(IF(USC?,1.6,0.5),Radius.List[Widening],1)-1,0))),"")</f>
        <v>800</v>
      </c>
      <c r="B12" s="4">
        <f ca="1">IF($A12&lt;B$48,"",IFERROR(MAX(ROUND(_N*(((VLOOKUP(Type,Vehicles[],2+USC?,0))+$A12-SQRT($A12^2-VLOOKUP(Type,Vehicles[],8+USC?,0)))+_C)+(_N-1)*(SQRT($A12^2+VLOOKUP(Type,Vehicles[],4+USC?,0)*(2*VLOOKUP(Type,Vehicles[],6+USC?,0)+VLOOKUP(Type,Vehicles[],4+USC?,0)))-$A12)+IF(USC?,1,0.1)*(B$6/SQRT($A12))-_N/2*_Wn,1),0),""))</f>
        <v>0.4</v>
      </c>
      <c r="C12" s="4">
        <f ca="1">IF($A12&lt;C$48,"",IFERROR(MAX(ROUND(_N*(((VLOOKUP(Type,Vehicles[],2+USC?,0))+$A12-SQRT($A12^2-VLOOKUP(Type,Vehicles[],8+USC?,0)))+_C)+(_N-1)*(SQRT($A12^2+VLOOKUP(Type,Vehicles[],4+USC?,0)*(2*VLOOKUP(Type,Vehicles[],6+USC?,0)+VLOOKUP(Type,Vehicles[],4+USC?,0)))-$A12)+IF(USC?,1,0.1)*(C$6/SQRT($A12))-_N/2*_Wn,1),0),""))</f>
        <v>0.6</v>
      </c>
      <c r="D12" s="4">
        <f ca="1">IF($A12&lt;D$48,"",IFERROR(MAX(ROUND(_N*(((VLOOKUP(Type,Vehicles[],2+USC?,0))+$A12-SQRT($A12^2-VLOOKUP(Type,Vehicles[],8+USC?,0)))+_C)+(_N-1)*(SQRT($A12^2+VLOOKUP(Type,Vehicles[],4+USC?,0)*(2*VLOOKUP(Type,Vehicles[],6+USC?,0)+VLOOKUP(Type,Vehicles[],4+USC?,0)))-$A12)+IF(USC?,1,0.1)*(D$6/SQRT($A12))-_N/2*_Wn,1),0),""))</f>
        <v>0.8</v>
      </c>
      <c r="E12" s="4">
        <f ca="1">IF($A12&lt;E$48,"",IFERROR(MAX(ROUND(_N*(((VLOOKUP(Type,Vehicles[],2+USC?,0))+$A12-SQRT($A12^2-VLOOKUP(Type,Vehicles[],8+USC?,0)))+_C)+(_N-1)*(SQRT($A12^2+VLOOKUP(Type,Vehicles[],4+USC?,0)*(2*VLOOKUP(Type,Vehicles[],6+USC?,0)+VLOOKUP(Type,Vehicles[],4+USC?,0)))-$A12)+IF(USC?,1,0.1)*(E$6/SQRT($A12))-_N/2*_Wn,1),0),""))</f>
        <v>0.9</v>
      </c>
      <c r="F12" s="4">
        <f ca="1">IF($A12&lt;F$48,"",IFERROR(MAX(ROUND(_N*(((VLOOKUP(Type,Vehicles[],2+USC?,0))+$A12-SQRT($A12^2-VLOOKUP(Type,Vehicles[],8+USC?,0)))+_C)+(_N-1)*(SQRT($A12^2+VLOOKUP(Type,Vehicles[],4+USC?,0)*(2*VLOOKUP(Type,Vehicles[],6+USC?,0)+VLOOKUP(Type,Vehicles[],4+USC?,0)))-$A12)+IF(USC?,1,0.1)*(F$6/SQRT($A12))-_N/2*_Wn,1),0),""))</f>
        <v>1.1000000000000001</v>
      </c>
      <c r="G12" s="4">
        <f ca="1">IF($A12&lt;G$48,"",IFERROR(MAX(ROUND(_N*(((VLOOKUP(Type,Vehicles[],2+USC?,0))+$A12-SQRT($A12^2-VLOOKUP(Type,Vehicles[],8+USC?,0)))+_C)+(_N-1)*(SQRT($A12^2+VLOOKUP(Type,Vehicles[],4+USC?,0)*(2*VLOOKUP(Type,Vehicles[],6+USC?,0)+VLOOKUP(Type,Vehicles[],4+USC?,0)))-$A12)+IF(USC?,1,0.1)*(G$6/SQRT($A12))-_N/2*_Wn,1),0),""))</f>
        <v>1.3</v>
      </c>
      <c r="H12" s="4">
        <f ca="1">IF($A12&lt;H$48,"",IFERROR(MAX(ROUND(_N*(((VLOOKUP(Type,Vehicles[],2+USC?,0))+$A12-SQRT($A12^2-VLOOKUP(Type,Vehicles[],8+USC?,0)))+_C)+(_N-1)*(SQRT($A12^2+VLOOKUP(Type,Vehicles[],4+USC?,0)*(2*VLOOKUP(Type,Vehicles[],6+USC?,0)+VLOOKUP(Type,Vehicles[],4+USC?,0)))-$A12)+IF(USC?,1,0.1)*(H$6/SQRT($A12))-_N/2*_Wn,1),0),""))</f>
        <v>1.5</v>
      </c>
      <c r="I12" s="4">
        <f ca="1">IF($A12&lt;I$48,"",IFERROR(MAX(ROUND(_N*(((VLOOKUP(Type,Vehicles[],2+USC?,0))+$A12-SQRT($A12^2-VLOOKUP(Type,Vehicles[],8+USC?,0)))+_C)+(_N-1)*(SQRT($A12^2+VLOOKUP(Type,Vehicles[],4+USC?,0)*(2*VLOOKUP(Type,Vehicles[],6+USC?,0)+VLOOKUP(Type,Vehicles[],4+USC?,0)))-$A12)+IF(USC?,1,0.1)*(I$6/SQRT($A12))-_N/2*_Wn,1),0),""))</f>
        <v>1.7</v>
      </c>
      <c r="J12" s="4">
        <f ca="1">IF($A12&lt;J$48,"",IFERROR(MAX(ROUND(_N*(((VLOOKUP(Type,Vehicles[],2+USC?,0))+$A12-SQRT($A12^2-VLOOKUP(Type,Vehicles[],8+USC?,0)))+_C)+(_N-1)*(SQRT($A12^2+VLOOKUP(Type,Vehicles[],4+USC?,0)*(2*VLOOKUP(Type,Vehicles[],6+USC?,0)+VLOOKUP(Type,Vehicles[],4+USC?,0)))-$A12)+IF(USC?,1,0.1)*(J$6/SQRT($A12))-_N/2*_Wn,1),0),""))</f>
        <v>1.8</v>
      </c>
      <c r="K12" s="4" t="str">
        <f ca="1">IF($A12&lt;K$48,"",IFERROR(MAX(ROUND(_N*(((VLOOKUP(Type,Vehicles[],2+USC?,0))+$A12-SQRT($A12^2-VLOOKUP(Type,Vehicles[],8+USC?,0)))+_C)+(_N-1)*(SQRT($A12^2+VLOOKUP(Type,Vehicles[],4+USC?,0)*(2*VLOOKUP(Type,Vehicles[],6+USC?,0)+VLOOKUP(Type,Vehicles[],4+USC?,0)))-$A12)+IF(USC?,1,0.1)*(K$6/SQRT($A12))-_N/2*_Wn,1),0),""))</f>
        <v/>
      </c>
      <c r="L12" s="4" t="str">
        <f ca="1">IF($A12&lt;L$48,"",IFERROR(MAX(ROUND(_N*(((VLOOKUP(Type,Vehicles[],2+USC?,0))+$A12-SQRT($A12^2-VLOOKUP(Type,Vehicles[],8+USC?,0)))+_C)+(_N-1)*(SQRT($A12^2+VLOOKUP(Type,Vehicles[],4+USC?,0)*(2*VLOOKUP(Type,Vehicles[],6+USC?,0)+VLOOKUP(Type,Vehicles[],4+USC?,0)))-$A12)+IF(USC?,1,0.1)*(L$6/SQRT($A12))-_N/2*_Wn,1),0),""))</f>
        <v/>
      </c>
      <c r="M12" s="4" t="str">
        <f ca="1">IF($A12&lt;M$48,"",IFERROR(MAX(ROUND(_N*(((VLOOKUP(Type,Vehicles[],2+USC?,0))+$A12-SQRT($A12^2-VLOOKUP(Type,Vehicles[],8+USC?,0)))+_C)+(_N-1)*(SQRT($A12^2+VLOOKUP(Type,Vehicles[],4+USC?,0)*(2*VLOOKUP(Type,Vehicles[],6+USC?,0)+VLOOKUP(Type,Vehicles[],4+USC?,0)))-$A12)+IF(USC?,1,0.1)*(M$6/SQRT($A12))-_N/2*_Wn,1),0),""))</f>
        <v/>
      </c>
      <c r="N12" s="4" t="str">
        <f ca="1">IF($A12&lt;N$48,"",IFERROR(MAX(ROUND(_N*(((VLOOKUP(Type,Vehicles[],2+USC?,0))+$A12-SQRT($A12^2-VLOOKUP(Type,Vehicles[],8+USC?,0)))+_C)+(_N-1)*(SQRT($A12^2+VLOOKUP(Type,Vehicles[],4+USC?,0)*(2*VLOOKUP(Type,Vehicles[],6+USC?,0)+VLOOKUP(Type,Vehicles[],4+USC?,0)))-$A12)+IF(USC?,1,0.1)*(N$6/SQRT($A12))-_N/2*_Wn,1),0),""))</f>
        <v/>
      </c>
      <c r="O12" s="4" t="str">
        <f ca="1">IF($A12&lt;O$48,"",IFERROR(MAX(ROUND(_N*(((VLOOKUP(Type,Vehicles[],2+USC?,0))+$A12-SQRT($A12^2-VLOOKUP(Type,Vehicles[],8+USC?,0)))+_C)+(_N-1)*(SQRT($A12^2+VLOOKUP(Type,Vehicles[],4+USC?,0)*(2*VLOOKUP(Type,Vehicles[],6+USC?,0)+VLOOKUP(Type,Vehicles[],4+USC?,0)))-$A12)+IF(USC?,1,0.1)*(O$6/SQRT($A12))-_N/2*_Wn,1),0),""))</f>
        <v/>
      </c>
      <c r="P12" s="4" t="str">
        <f ca="1">IF($A12&lt;P$48,"",IFERROR(MAX(ROUND(_N*(((VLOOKUP(Type,Vehicles[],2+USC?,0))+$A12-SQRT($A12^2-VLOOKUP(Type,Vehicles[],8+USC?,0)))+_C)+(_N-1)*(SQRT($A12^2+VLOOKUP(Type,Vehicles[],4+USC?,0)*(2*VLOOKUP(Type,Vehicles[],6+USC?,0)+VLOOKUP(Type,Vehicles[],4+USC?,0)))-$A12)+IF(USC?,1,0.1)*(P$6/SQRT($A12))-_N/2*_Wn,1),0),""))</f>
        <v/>
      </c>
    </row>
    <row r="13" spans="1:16" x14ac:dyDescent="0.2">
      <c r="A13" s="22">
        <f ca="1">IFERROR(INDEX(Radius.List[Radius],ROW(A13)-ROW(A$6)-1+IF(LEN(Max.Radius)&gt;0,MATCH(Max.Radius,Radius.List[Radius],0)-1,IFERROR(MATCH(IF(USC?,1.6,0.5),Radius.List[Widening],1)-1,0))),"")</f>
        <v>700</v>
      </c>
      <c r="B13" s="4">
        <f ca="1">IF($A13&lt;B$48,"",IFERROR(MAX(ROUND(_N*(((VLOOKUP(Type,Vehicles[],2+USC?,0))+$A13-SQRT($A13^2-VLOOKUP(Type,Vehicles[],8+USC?,0)))+_C)+(_N-1)*(SQRT($A13^2+VLOOKUP(Type,Vehicles[],4+USC?,0)*(2*VLOOKUP(Type,Vehicles[],6+USC?,0)+VLOOKUP(Type,Vehicles[],4+USC?,0)))-$A13)+IF(USC?,1,0.1)*(B$6/SQRT($A13))-_N/2*_Wn,1),0),""))</f>
        <v>0.6</v>
      </c>
      <c r="C13" s="4">
        <f ca="1">IF($A13&lt;C$48,"",IFERROR(MAX(ROUND(_N*(((VLOOKUP(Type,Vehicles[],2+USC?,0))+$A13-SQRT($A13^2-VLOOKUP(Type,Vehicles[],8+USC?,0)))+_C)+(_N-1)*(SQRT($A13^2+VLOOKUP(Type,Vehicles[],4+USC?,0)*(2*VLOOKUP(Type,Vehicles[],6+USC?,0)+VLOOKUP(Type,Vehicles[],4+USC?,0)))-$A13)+IF(USC?,1,0.1)*(C$6/SQRT($A13))-_N/2*_Wn,1),0),""))</f>
        <v>0.8</v>
      </c>
      <c r="D13" s="4">
        <f ca="1">IF($A13&lt;D$48,"",IFERROR(MAX(ROUND(_N*(((VLOOKUP(Type,Vehicles[],2+USC?,0))+$A13-SQRT($A13^2-VLOOKUP(Type,Vehicles[],8+USC?,0)))+_C)+(_N-1)*(SQRT($A13^2+VLOOKUP(Type,Vehicles[],4+USC?,0)*(2*VLOOKUP(Type,Vehicles[],6+USC?,0)+VLOOKUP(Type,Vehicles[],4+USC?,0)))-$A13)+IF(USC?,1,0.1)*(D$6/SQRT($A13))-_N/2*_Wn,1),0),""))</f>
        <v>1</v>
      </c>
      <c r="E13" s="4">
        <f ca="1">IF($A13&lt;E$48,"",IFERROR(MAX(ROUND(_N*(((VLOOKUP(Type,Vehicles[],2+USC?,0))+$A13-SQRT($A13^2-VLOOKUP(Type,Vehicles[],8+USC?,0)))+_C)+(_N-1)*(SQRT($A13^2+VLOOKUP(Type,Vehicles[],4+USC?,0)*(2*VLOOKUP(Type,Vehicles[],6+USC?,0)+VLOOKUP(Type,Vehicles[],4+USC?,0)))-$A13)+IF(USC?,1,0.1)*(E$6/SQRT($A13))-_N/2*_Wn,1),0),""))</f>
        <v>1.2</v>
      </c>
      <c r="F13" s="4">
        <f ca="1">IF($A13&lt;F$48,"",IFERROR(MAX(ROUND(_N*(((VLOOKUP(Type,Vehicles[],2+USC?,0))+$A13-SQRT($A13^2-VLOOKUP(Type,Vehicles[],8+USC?,0)))+_C)+(_N-1)*(SQRT($A13^2+VLOOKUP(Type,Vehicles[],4+USC?,0)*(2*VLOOKUP(Type,Vehicles[],6+USC?,0)+VLOOKUP(Type,Vehicles[],4+USC?,0)))-$A13)+IF(USC?,1,0.1)*(F$6/SQRT($A13))-_N/2*_Wn,1),0),""))</f>
        <v>1.3</v>
      </c>
      <c r="G13" s="4">
        <f ca="1">IF($A13&lt;G$48,"",IFERROR(MAX(ROUND(_N*(((VLOOKUP(Type,Vehicles[],2+USC?,0))+$A13-SQRT($A13^2-VLOOKUP(Type,Vehicles[],8+USC?,0)))+_C)+(_N-1)*(SQRT($A13^2+VLOOKUP(Type,Vehicles[],4+USC?,0)*(2*VLOOKUP(Type,Vehicles[],6+USC?,0)+VLOOKUP(Type,Vehicles[],4+USC?,0)))-$A13)+IF(USC?,1,0.1)*(G$6/SQRT($A13))-_N/2*_Wn,1),0),""))</f>
        <v>1.5</v>
      </c>
      <c r="H13" s="4">
        <f ca="1">IF($A13&lt;H$48,"",IFERROR(MAX(ROUND(_N*(((VLOOKUP(Type,Vehicles[],2+USC?,0))+$A13-SQRT($A13^2-VLOOKUP(Type,Vehicles[],8+USC?,0)))+_C)+(_N-1)*(SQRT($A13^2+VLOOKUP(Type,Vehicles[],4+USC?,0)*(2*VLOOKUP(Type,Vehicles[],6+USC?,0)+VLOOKUP(Type,Vehicles[],4+USC?,0)))-$A13)+IF(USC?,1,0.1)*(H$6/SQRT($A13))-_N/2*_Wn,1),0),""))</f>
        <v>1.7</v>
      </c>
      <c r="I13" s="4">
        <f ca="1">IF($A13&lt;I$48,"",IFERROR(MAX(ROUND(_N*(((VLOOKUP(Type,Vehicles[],2+USC?,0))+$A13-SQRT($A13^2-VLOOKUP(Type,Vehicles[],8+USC?,0)))+_C)+(_N-1)*(SQRT($A13^2+VLOOKUP(Type,Vehicles[],4+USC?,0)*(2*VLOOKUP(Type,Vehicles[],6+USC?,0)+VLOOKUP(Type,Vehicles[],4+USC?,0)))-$A13)+IF(USC?,1,0.1)*(I$6/SQRT($A13))-_N/2*_Wn,1),0),""))</f>
        <v>1.9</v>
      </c>
      <c r="J13" s="4">
        <f ca="1">IF($A13&lt;J$48,"",IFERROR(MAX(ROUND(_N*(((VLOOKUP(Type,Vehicles[],2+USC?,0))+$A13-SQRT($A13^2-VLOOKUP(Type,Vehicles[],8+USC?,0)))+_C)+(_N-1)*(SQRT($A13^2+VLOOKUP(Type,Vehicles[],4+USC?,0)*(2*VLOOKUP(Type,Vehicles[],6+USC?,0)+VLOOKUP(Type,Vehicles[],4+USC?,0)))-$A13)+IF(USC?,1,0.1)*(J$6/SQRT($A13))-_N/2*_Wn,1),0),""))</f>
        <v>2.1</v>
      </c>
      <c r="K13" s="4" t="str">
        <f ca="1">IF($A13&lt;K$48,"",IFERROR(MAX(ROUND(_N*(((VLOOKUP(Type,Vehicles[],2+USC?,0))+$A13-SQRT($A13^2-VLOOKUP(Type,Vehicles[],8+USC?,0)))+_C)+(_N-1)*(SQRT($A13^2+VLOOKUP(Type,Vehicles[],4+USC?,0)*(2*VLOOKUP(Type,Vehicles[],6+USC?,0)+VLOOKUP(Type,Vehicles[],4+USC?,0)))-$A13)+IF(USC?,1,0.1)*(K$6/SQRT($A13))-_N/2*_Wn,1),0),""))</f>
        <v/>
      </c>
      <c r="L13" s="4" t="str">
        <f ca="1">IF($A13&lt;L$48,"",IFERROR(MAX(ROUND(_N*(((VLOOKUP(Type,Vehicles[],2+USC?,0))+$A13-SQRT($A13^2-VLOOKUP(Type,Vehicles[],8+USC?,0)))+_C)+(_N-1)*(SQRT($A13^2+VLOOKUP(Type,Vehicles[],4+USC?,0)*(2*VLOOKUP(Type,Vehicles[],6+USC?,0)+VLOOKUP(Type,Vehicles[],4+USC?,0)))-$A13)+IF(USC?,1,0.1)*(L$6/SQRT($A13))-_N/2*_Wn,1),0),""))</f>
        <v/>
      </c>
      <c r="M13" s="4" t="str">
        <f ca="1">IF($A13&lt;M$48,"",IFERROR(MAX(ROUND(_N*(((VLOOKUP(Type,Vehicles[],2+USC?,0))+$A13-SQRT($A13^2-VLOOKUP(Type,Vehicles[],8+USC?,0)))+_C)+(_N-1)*(SQRT($A13^2+VLOOKUP(Type,Vehicles[],4+USC?,0)*(2*VLOOKUP(Type,Vehicles[],6+USC?,0)+VLOOKUP(Type,Vehicles[],4+USC?,0)))-$A13)+IF(USC?,1,0.1)*(M$6/SQRT($A13))-_N/2*_Wn,1),0),""))</f>
        <v/>
      </c>
      <c r="N13" s="4" t="str">
        <f ca="1">IF($A13&lt;N$48,"",IFERROR(MAX(ROUND(_N*(((VLOOKUP(Type,Vehicles[],2+USC?,0))+$A13-SQRT($A13^2-VLOOKUP(Type,Vehicles[],8+USC?,0)))+_C)+(_N-1)*(SQRT($A13^2+VLOOKUP(Type,Vehicles[],4+USC?,0)*(2*VLOOKUP(Type,Vehicles[],6+USC?,0)+VLOOKUP(Type,Vehicles[],4+USC?,0)))-$A13)+IF(USC?,1,0.1)*(N$6/SQRT($A13))-_N/2*_Wn,1),0),""))</f>
        <v/>
      </c>
      <c r="O13" s="4" t="str">
        <f ca="1">IF($A13&lt;O$48,"",IFERROR(MAX(ROUND(_N*(((VLOOKUP(Type,Vehicles[],2+USC?,0))+$A13-SQRT($A13^2-VLOOKUP(Type,Vehicles[],8+USC?,0)))+_C)+(_N-1)*(SQRT($A13^2+VLOOKUP(Type,Vehicles[],4+USC?,0)*(2*VLOOKUP(Type,Vehicles[],6+USC?,0)+VLOOKUP(Type,Vehicles[],4+USC?,0)))-$A13)+IF(USC?,1,0.1)*(O$6/SQRT($A13))-_N/2*_Wn,1),0),""))</f>
        <v/>
      </c>
      <c r="P13" s="4" t="str">
        <f ca="1">IF($A13&lt;P$48,"",IFERROR(MAX(ROUND(_N*(((VLOOKUP(Type,Vehicles[],2+USC?,0))+$A13-SQRT($A13^2-VLOOKUP(Type,Vehicles[],8+USC?,0)))+_C)+(_N-1)*(SQRT($A13^2+VLOOKUP(Type,Vehicles[],4+USC?,0)*(2*VLOOKUP(Type,Vehicles[],6+USC?,0)+VLOOKUP(Type,Vehicles[],4+USC?,0)))-$A13)+IF(USC?,1,0.1)*(P$6/SQRT($A13))-_N/2*_Wn,1),0),""))</f>
        <v/>
      </c>
    </row>
    <row r="14" spans="1:16" x14ac:dyDescent="0.2">
      <c r="A14" s="22">
        <f ca="1">IFERROR(INDEX(Radius.List[Radius],ROW(A14)-ROW(A$6)-1+IF(LEN(Max.Radius)&gt;0,MATCH(Max.Radius,Radius.List[Radius],0)-1,IFERROR(MATCH(IF(USC?,1.6,0.5),Radius.List[Widening],1)-1,0))),"")</f>
        <v>600</v>
      </c>
      <c r="B14" s="4">
        <f ca="1">IF($A14&lt;B$48,"",IFERROR(MAX(ROUND(_N*(((VLOOKUP(Type,Vehicles[],2+USC?,0))+$A14-SQRT($A14^2-VLOOKUP(Type,Vehicles[],8+USC?,0)))+_C)+(_N-1)*(SQRT($A14^2+VLOOKUP(Type,Vehicles[],4+USC?,0)*(2*VLOOKUP(Type,Vehicles[],6+USC?,0)+VLOOKUP(Type,Vehicles[],4+USC?,0)))-$A14)+IF(USC?,1,0.1)*(B$6/SQRT($A14))-_N/2*_Wn,1),0),""))</f>
        <v>0.8</v>
      </c>
      <c r="C14" s="4">
        <f ca="1">IF($A14&lt;C$48,"",IFERROR(MAX(ROUND(_N*(((VLOOKUP(Type,Vehicles[],2+USC?,0))+$A14-SQRT($A14^2-VLOOKUP(Type,Vehicles[],8+USC?,0)))+_C)+(_N-1)*(SQRT($A14^2+VLOOKUP(Type,Vehicles[],4+USC?,0)*(2*VLOOKUP(Type,Vehicles[],6+USC?,0)+VLOOKUP(Type,Vehicles[],4+USC?,0)))-$A14)+IF(USC?,1,0.1)*(C$6/SQRT($A14))-_N/2*_Wn,1),0),""))</f>
        <v>1</v>
      </c>
      <c r="D14" s="4">
        <f ca="1">IF($A14&lt;D$48,"",IFERROR(MAX(ROUND(_N*(((VLOOKUP(Type,Vehicles[],2+USC?,0))+$A14-SQRT($A14^2-VLOOKUP(Type,Vehicles[],8+USC?,0)))+_C)+(_N-1)*(SQRT($A14^2+VLOOKUP(Type,Vehicles[],4+USC?,0)*(2*VLOOKUP(Type,Vehicles[],6+USC?,0)+VLOOKUP(Type,Vehicles[],4+USC?,0)))-$A14)+IF(USC?,1,0.1)*(D$6/SQRT($A14))-_N/2*_Wn,1),0),""))</f>
        <v>1.2</v>
      </c>
      <c r="E14" s="4">
        <f ca="1">IF($A14&lt;E$48,"",IFERROR(MAX(ROUND(_N*(((VLOOKUP(Type,Vehicles[],2+USC?,0))+$A14-SQRT($A14^2-VLOOKUP(Type,Vehicles[],8+USC?,0)))+_C)+(_N-1)*(SQRT($A14^2+VLOOKUP(Type,Vehicles[],4+USC?,0)*(2*VLOOKUP(Type,Vehicles[],6+USC?,0)+VLOOKUP(Type,Vehicles[],4+USC?,0)))-$A14)+IF(USC?,1,0.1)*(E$6/SQRT($A14))-_N/2*_Wn,1),0),""))</f>
        <v>1.4</v>
      </c>
      <c r="F14" s="4">
        <f ca="1">IF($A14&lt;F$48,"",IFERROR(MAX(ROUND(_N*(((VLOOKUP(Type,Vehicles[],2+USC?,0))+$A14-SQRT($A14^2-VLOOKUP(Type,Vehicles[],8+USC?,0)))+_C)+(_N-1)*(SQRT($A14^2+VLOOKUP(Type,Vehicles[],4+USC?,0)*(2*VLOOKUP(Type,Vehicles[],6+USC?,0)+VLOOKUP(Type,Vehicles[],4+USC?,0)))-$A14)+IF(USC?,1,0.1)*(F$6/SQRT($A14))-_N/2*_Wn,1),0),""))</f>
        <v>1.6</v>
      </c>
      <c r="G14" s="4">
        <f ca="1">IF($A14&lt;G$48,"",IFERROR(MAX(ROUND(_N*(((VLOOKUP(Type,Vehicles[],2+USC?,0))+$A14-SQRT($A14^2-VLOOKUP(Type,Vehicles[],8+USC?,0)))+_C)+(_N-1)*(SQRT($A14^2+VLOOKUP(Type,Vehicles[],4+USC?,0)*(2*VLOOKUP(Type,Vehicles[],6+USC?,0)+VLOOKUP(Type,Vehicles[],4+USC?,0)))-$A14)+IF(USC?,1,0.1)*(G$6/SQRT($A14))-_N/2*_Wn,1),0),""))</f>
        <v>1.8</v>
      </c>
      <c r="H14" s="4">
        <f ca="1">IF($A14&lt;H$48,"",IFERROR(MAX(ROUND(_N*(((VLOOKUP(Type,Vehicles[],2+USC?,0))+$A14-SQRT($A14^2-VLOOKUP(Type,Vehicles[],8+USC?,0)))+_C)+(_N-1)*(SQRT($A14^2+VLOOKUP(Type,Vehicles[],4+USC?,0)*(2*VLOOKUP(Type,Vehicles[],6+USC?,0)+VLOOKUP(Type,Vehicles[],4+USC?,0)))-$A14)+IF(USC?,1,0.1)*(H$6/SQRT($A14))-_N/2*_Wn,1),0),""))</f>
        <v>2</v>
      </c>
      <c r="I14" s="4">
        <f ca="1">IF($A14&lt;I$48,"",IFERROR(MAX(ROUND(_N*(((VLOOKUP(Type,Vehicles[],2+USC?,0))+$A14-SQRT($A14^2-VLOOKUP(Type,Vehicles[],8+USC?,0)))+_C)+(_N-1)*(SQRT($A14^2+VLOOKUP(Type,Vehicles[],4+USC?,0)*(2*VLOOKUP(Type,Vehicles[],6+USC?,0)+VLOOKUP(Type,Vehicles[],4+USC?,0)))-$A14)+IF(USC?,1,0.1)*(I$6/SQRT($A14))-_N/2*_Wn,1),0),""))</f>
        <v>2.2999999999999998</v>
      </c>
      <c r="J14" s="4" t="str">
        <f ca="1">IF($A14&lt;J$48,"",IFERROR(MAX(ROUND(_N*(((VLOOKUP(Type,Vehicles[],2+USC?,0))+$A14-SQRT($A14^2-VLOOKUP(Type,Vehicles[],8+USC?,0)))+_C)+(_N-1)*(SQRT($A14^2+VLOOKUP(Type,Vehicles[],4+USC?,0)*(2*VLOOKUP(Type,Vehicles[],6+USC?,0)+VLOOKUP(Type,Vehicles[],4+USC?,0)))-$A14)+IF(USC?,1,0.1)*(J$6/SQRT($A14))-_N/2*_Wn,1),0),""))</f>
        <v/>
      </c>
      <c r="K14" s="4" t="str">
        <f ca="1">IF($A14&lt;K$48,"",IFERROR(MAX(ROUND(_N*(((VLOOKUP(Type,Vehicles[],2+USC?,0))+$A14-SQRT($A14^2-VLOOKUP(Type,Vehicles[],8+USC?,0)))+_C)+(_N-1)*(SQRT($A14^2+VLOOKUP(Type,Vehicles[],4+USC?,0)*(2*VLOOKUP(Type,Vehicles[],6+USC?,0)+VLOOKUP(Type,Vehicles[],4+USC?,0)))-$A14)+IF(USC?,1,0.1)*(K$6/SQRT($A14))-_N/2*_Wn,1),0),""))</f>
        <v/>
      </c>
      <c r="L14" s="4" t="str">
        <f ca="1">IF($A14&lt;L$48,"",IFERROR(MAX(ROUND(_N*(((VLOOKUP(Type,Vehicles[],2+USC?,0))+$A14-SQRT($A14^2-VLOOKUP(Type,Vehicles[],8+USC?,0)))+_C)+(_N-1)*(SQRT($A14^2+VLOOKUP(Type,Vehicles[],4+USC?,0)*(2*VLOOKUP(Type,Vehicles[],6+USC?,0)+VLOOKUP(Type,Vehicles[],4+USC?,0)))-$A14)+IF(USC?,1,0.1)*(L$6/SQRT($A14))-_N/2*_Wn,1),0),""))</f>
        <v/>
      </c>
      <c r="M14" s="4" t="str">
        <f ca="1">IF($A14&lt;M$48,"",IFERROR(MAX(ROUND(_N*(((VLOOKUP(Type,Vehicles[],2+USC?,0))+$A14-SQRT($A14^2-VLOOKUP(Type,Vehicles[],8+USC?,0)))+_C)+(_N-1)*(SQRT($A14^2+VLOOKUP(Type,Vehicles[],4+USC?,0)*(2*VLOOKUP(Type,Vehicles[],6+USC?,0)+VLOOKUP(Type,Vehicles[],4+USC?,0)))-$A14)+IF(USC?,1,0.1)*(M$6/SQRT($A14))-_N/2*_Wn,1),0),""))</f>
        <v/>
      </c>
      <c r="N14" s="4" t="str">
        <f ca="1">IF($A14&lt;N$48,"",IFERROR(MAX(ROUND(_N*(((VLOOKUP(Type,Vehicles[],2+USC?,0))+$A14-SQRT($A14^2-VLOOKUP(Type,Vehicles[],8+USC?,0)))+_C)+(_N-1)*(SQRT($A14^2+VLOOKUP(Type,Vehicles[],4+USC?,0)*(2*VLOOKUP(Type,Vehicles[],6+USC?,0)+VLOOKUP(Type,Vehicles[],4+USC?,0)))-$A14)+IF(USC?,1,0.1)*(N$6/SQRT($A14))-_N/2*_Wn,1),0),""))</f>
        <v/>
      </c>
      <c r="O14" s="4" t="str">
        <f ca="1">IF($A14&lt;O$48,"",IFERROR(MAX(ROUND(_N*(((VLOOKUP(Type,Vehicles[],2+USC?,0))+$A14-SQRT($A14^2-VLOOKUP(Type,Vehicles[],8+USC?,0)))+_C)+(_N-1)*(SQRT($A14^2+VLOOKUP(Type,Vehicles[],4+USC?,0)*(2*VLOOKUP(Type,Vehicles[],6+USC?,0)+VLOOKUP(Type,Vehicles[],4+USC?,0)))-$A14)+IF(USC?,1,0.1)*(O$6/SQRT($A14))-_N/2*_Wn,1),0),""))</f>
        <v/>
      </c>
      <c r="P14" s="4" t="str">
        <f ca="1">IF($A14&lt;P$48,"",IFERROR(MAX(ROUND(_N*(((VLOOKUP(Type,Vehicles[],2+USC?,0))+$A14-SQRT($A14^2-VLOOKUP(Type,Vehicles[],8+USC?,0)))+_C)+(_N-1)*(SQRT($A14^2+VLOOKUP(Type,Vehicles[],4+USC?,0)*(2*VLOOKUP(Type,Vehicles[],6+USC?,0)+VLOOKUP(Type,Vehicles[],4+USC?,0)))-$A14)+IF(USC?,1,0.1)*(P$6/SQRT($A14))-_N/2*_Wn,1),0),""))</f>
        <v/>
      </c>
    </row>
    <row r="15" spans="1:16" x14ac:dyDescent="0.2">
      <c r="A15" s="22">
        <f ca="1">IFERROR(INDEX(Radius.List[Radius],ROW(A15)-ROW(A$6)-1+IF(LEN(Max.Radius)&gt;0,MATCH(Max.Radius,Radius.List[Radius],0)-1,IFERROR(MATCH(IF(USC?,1.6,0.5),Radius.List[Widening],1)-1,0))),"")</f>
        <v>500</v>
      </c>
      <c r="B15" s="4">
        <f ca="1">IF($A15&lt;B$48,"",IFERROR(MAX(ROUND(_N*(((VLOOKUP(Type,Vehicles[],2+USC?,0))+$A15-SQRT($A15^2-VLOOKUP(Type,Vehicles[],8+USC?,0)))+_C)+(_N-1)*(SQRT($A15^2+VLOOKUP(Type,Vehicles[],4+USC?,0)*(2*VLOOKUP(Type,Vehicles[],6+USC?,0)+VLOOKUP(Type,Vehicles[],4+USC?,0)))-$A15)+IF(USC?,1,0.1)*(B$6/SQRT($A15))-_N/2*_Wn,1),0),""))</f>
        <v>1.1000000000000001</v>
      </c>
      <c r="C15" s="4">
        <f ca="1">IF($A15&lt;C$48,"",IFERROR(MAX(ROUND(_N*(((VLOOKUP(Type,Vehicles[],2+USC?,0))+$A15-SQRT($A15^2-VLOOKUP(Type,Vehicles[],8+USC?,0)))+_C)+(_N-1)*(SQRT($A15^2+VLOOKUP(Type,Vehicles[],4+USC?,0)*(2*VLOOKUP(Type,Vehicles[],6+USC?,0)+VLOOKUP(Type,Vehicles[],4+USC?,0)))-$A15)+IF(USC?,1,0.1)*(C$6/SQRT($A15))-_N/2*_Wn,1),0),""))</f>
        <v>1.4</v>
      </c>
      <c r="D15" s="4">
        <f ca="1">IF($A15&lt;D$48,"",IFERROR(MAX(ROUND(_N*(((VLOOKUP(Type,Vehicles[],2+USC?,0))+$A15-SQRT($A15^2-VLOOKUP(Type,Vehicles[],8+USC?,0)))+_C)+(_N-1)*(SQRT($A15^2+VLOOKUP(Type,Vehicles[],4+USC?,0)*(2*VLOOKUP(Type,Vehicles[],6+USC?,0)+VLOOKUP(Type,Vehicles[],4+USC?,0)))-$A15)+IF(USC?,1,0.1)*(D$6/SQRT($A15))-_N/2*_Wn,1),0),""))</f>
        <v>1.6</v>
      </c>
      <c r="E15" s="4">
        <f ca="1">IF($A15&lt;E$48,"",IFERROR(MAX(ROUND(_N*(((VLOOKUP(Type,Vehicles[],2+USC?,0))+$A15-SQRT($A15^2-VLOOKUP(Type,Vehicles[],8+USC?,0)))+_C)+(_N-1)*(SQRT($A15^2+VLOOKUP(Type,Vehicles[],4+USC?,0)*(2*VLOOKUP(Type,Vehicles[],6+USC?,0)+VLOOKUP(Type,Vehicles[],4+USC?,0)))-$A15)+IF(USC?,1,0.1)*(E$6/SQRT($A15))-_N/2*_Wn,1),0),""))</f>
        <v>1.8</v>
      </c>
      <c r="F15" s="4">
        <f ca="1">IF($A15&lt;F$48,"",IFERROR(MAX(ROUND(_N*(((VLOOKUP(Type,Vehicles[],2+USC?,0))+$A15-SQRT($A15^2-VLOOKUP(Type,Vehicles[],8+USC?,0)))+_C)+(_N-1)*(SQRT($A15^2+VLOOKUP(Type,Vehicles[],4+USC?,0)*(2*VLOOKUP(Type,Vehicles[],6+USC?,0)+VLOOKUP(Type,Vehicles[],4+USC?,0)))-$A15)+IF(USC?,1,0.1)*(F$6/SQRT($A15))-_N/2*_Wn,1),0),""))</f>
        <v>2</v>
      </c>
      <c r="G15" s="4">
        <f ca="1">IF($A15&lt;G$48,"",IFERROR(MAX(ROUND(_N*(((VLOOKUP(Type,Vehicles[],2+USC?,0))+$A15-SQRT($A15^2-VLOOKUP(Type,Vehicles[],8+USC?,0)))+_C)+(_N-1)*(SQRT($A15^2+VLOOKUP(Type,Vehicles[],4+USC?,0)*(2*VLOOKUP(Type,Vehicles[],6+USC?,0)+VLOOKUP(Type,Vehicles[],4+USC?,0)))-$A15)+IF(USC?,1,0.1)*(G$6/SQRT($A15))-_N/2*_Wn,1),0),""))</f>
        <v>2.2999999999999998</v>
      </c>
      <c r="H15" s="4">
        <f ca="1">IF($A15&lt;H$48,"",IFERROR(MAX(ROUND(_N*(((VLOOKUP(Type,Vehicles[],2+USC?,0))+$A15-SQRT($A15^2-VLOOKUP(Type,Vehicles[],8+USC?,0)))+_C)+(_N-1)*(SQRT($A15^2+VLOOKUP(Type,Vehicles[],4+USC?,0)*(2*VLOOKUP(Type,Vehicles[],6+USC?,0)+VLOOKUP(Type,Vehicles[],4+USC?,0)))-$A15)+IF(USC?,1,0.1)*(H$6/SQRT($A15))-_N/2*_Wn,1),0),""))</f>
        <v>2.5</v>
      </c>
      <c r="I15" s="4">
        <f ca="1">IF($A15&lt;I$48,"",IFERROR(MAX(ROUND(_N*(((VLOOKUP(Type,Vehicles[],2+USC?,0))+$A15-SQRT($A15^2-VLOOKUP(Type,Vehicles[],8+USC?,0)))+_C)+(_N-1)*(SQRT($A15^2+VLOOKUP(Type,Vehicles[],4+USC?,0)*(2*VLOOKUP(Type,Vehicles[],6+USC?,0)+VLOOKUP(Type,Vehicles[],4+USC?,0)))-$A15)+IF(USC?,1,0.1)*(I$6/SQRT($A15))-_N/2*_Wn,1),0),""))</f>
        <v>2.7</v>
      </c>
      <c r="J15" s="4" t="str">
        <f ca="1">IF($A15&lt;J$48,"",IFERROR(MAX(ROUND(_N*(((VLOOKUP(Type,Vehicles[],2+USC?,0))+$A15-SQRT($A15^2-VLOOKUP(Type,Vehicles[],8+USC?,0)))+_C)+(_N-1)*(SQRT($A15^2+VLOOKUP(Type,Vehicles[],4+USC?,0)*(2*VLOOKUP(Type,Vehicles[],6+USC?,0)+VLOOKUP(Type,Vehicles[],4+USC?,0)))-$A15)+IF(USC?,1,0.1)*(J$6/SQRT($A15))-_N/2*_Wn,1),0),""))</f>
        <v/>
      </c>
      <c r="K15" s="4" t="str">
        <f ca="1">IF($A15&lt;K$48,"",IFERROR(MAX(ROUND(_N*(((VLOOKUP(Type,Vehicles[],2+USC?,0))+$A15-SQRT($A15^2-VLOOKUP(Type,Vehicles[],8+USC?,0)))+_C)+(_N-1)*(SQRT($A15^2+VLOOKUP(Type,Vehicles[],4+USC?,0)*(2*VLOOKUP(Type,Vehicles[],6+USC?,0)+VLOOKUP(Type,Vehicles[],4+USC?,0)))-$A15)+IF(USC?,1,0.1)*(K$6/SQRT($A15))-_N/2*_Wn,1),0),""))</f>
        <v/>
      </c>
      <c r="L15" s="4" t="str">
        <f ca="1">IF($A15&lt;L$48,"",IFERROR(MAX(ROUND(_N*(((VLOOKUP(Type,Vehicles[],2+USC?,0))+$A15-SQRT($A15^2-VLOOKUP(Type,Vehicles[],8+USC?,0)))+_C)+(_N-1)*(SQRT($A15^2+VLOOKUP(Type,Vehicles[],4+USC?,0)*(2*VLOOKUP(Type,Vehicles[],6+USC?,0)+VLOOKUP(Type,Vehicles[],4+USC?,0)))-$A15)+IF(USC?,1,0.1)*(L$6/SQRT($A15))-_N/2*_Wn,1),0),""))</f>
        <v/>
      </c>
      <c r="M15" s="4" t="str">
        <f ca="1">IF($A15&lt;M$48,"",IFERROR(MAX(ROUND(_N*(((VLOOKUP(Type,Vehicles[],2+USC?,0))+$A15-SQRT($A15^2-VLOOKUP(Type,Vehicles[],8+USC?,0)))+_C)+(_N-1)*(SQRT($A15^2+VLOOKUP(Type,Vehicles[],4+USC?,0)*(2*VLOOKUP(Type,Vehicles[],6+USC?,0)+VLOOKUP(Type,Vehicles[],4+USC?,0)))-$A15)+IF(USC?,1,0.1)*(M$6/SQRT($A15))-_N/2*_Wn,1),0),""))</f>
        <v/>
      </c>
      <c r="N15" s="4" t="str">
        <f ca="1">IF($A15&lt;N$48,"",IFERROR(MAX(ROUND(_N*(((VLOOKUP(Type,Vehicles[],2+USC?,0))+$A15-SQRT($A15^2-VLOOKUP(Type,Vehicles[],8+USC?,0)))+_C)+(_N-1)*(SQRT($A15^2+VLOOKUP(Type,Vehicles[],4+USC?,0)*(2*VLOOKUP(Type,Vehicles[],6+USC?,0)+VLOOKUP(Type,Vehicles[],4+USC?,0)))-$A15)+IF(USC?,1,0.1)*(N$6/SQRT($A15))-_N/2*_Wn,1),0),""))</f>
        <v/>
      </c>
      <c r="O15" s="4" t="str">
        <f ca="1">IF($A15&lt;O$48,"",IFERROR(MAX(ROUND(_N*(((VLOOKUP(Type,Vehicles[],2+USC?,0))+$A15-SQRT($A15^2-VLOOKUP(Type,Vehicles[],8+USC?,0)))+_C)+(_N-1)*(SQRT($A15^2+VLOOKUP(Type,Vehicles[],4+USC?,0)*(2*VLOOKUP(Type,Vehicles[],6+USC?,0)+VLOOKUP(Type,Vehicles[],4+USC?,0)))-$A15)+IF(USC?,1,0.1)*(O$6/SQRT($A15))-_N/2*_Wn,1),0),""))</f>
        <v/>
      </c>
      <c r="P15" s="4" t="str">
        <f ca="1">IF($A15&lt;P$48,"",IFERROR(MAX(ROUND(_N*(((VLOOKUP(Type,Vehicles[],2+USC?,0))+$A15-SQRT($A15^2-VLOOKUP(Type,Vehicles[],8+USC?,0)))+_C)+(_N-1)*(SQRT($A15^2+VLOOKUP(Type,Vehicles[],4+USC?,0)*(2*VLOOKUP(Type,Vehicles[],6+USC?,0)+VLOOKUP(Type,Vehicles[],4+USC?,0)))-$A15)+IF(USC?,1,0.1)*(P$6/SQRT($A15))-_N/2*_Wn,1),0),""))</f>
        <v/>
      </c>
    </row>
    <row r="16" spans="1:16" x14ac:dyDescent="0.2">
      <c r="A16" s="22">
        <f ca="1">IFERROR(INDEX(Radius.List[Radius],ROW(A16)-ROW(A$6)-1+IF(LEN(Max.Radius)&gt;0,MATCH(Max.Radius,Radius.List[Radius],0)-1,IFERROR(MATCH(IF(USC?,1.6,0.5),Radius.List[Widening],1)-1,0))),"")</f>
        <v>450</v>
      </c>
      <c r="B16" s="4">
        <f ca="1">IF($A16&lt;B$48,"",IFERROR(MAX(ROUND(_N*(((VLOOKUP(Type,Vehicles[],2+USC?,0))+$A16-SQRT($A16^2-VLOOKUP(Type,Vehicles[],8+USC?,0)))+_C)+(_N-1)*(SQRT($A16^2+VLOOKUP(Type,Vehicles[],4+USC?,0)*(2*VLOOKUP(Type,Vehicles[],6+USC?,0)+VLOOKUP(Type,Vehicles[],4+USC?,0)))-$A16)+IF(USC?,1,0.1)*(B$6/SQRT($A16))-_N/2*_Wn,1),0),""))</f>
        <v>1.4</v>
      </c>
      <c r="C16" s="4">
        <f ca="1">IF($A16&lt;C$48,"",IFERROR(MAX(ROUND(_N*(((VLOOKUP(Type,Vehicles[],2+USC?,0))+$A16-SQRT($A16^2-VLOOKUP(Type,Vehicles[],8+USC?,0)))+_C)+(_N-1)*(SQRT($A16^2+VLOOKUP(Type,Vehicles[],4+USC?,0)*(2*VLOOKUP(Type,Vehicles[],6+USC?,0)+VLOOKUP(Type,Vehicles[],4+USC?,0)))-$A16)+IF(USC?,1,0.1)*(C$6/SQRT($A16))-_N/2*_Wn,1),0),""))</f>
        <v>1.6</v>
      </c>
      <c r="D16" s="4">
        <f ca="1">IF($A16&lt;D$48,"",IFERROR(MAX(ROUND(_N*(((VLOOKUP(Type,Vehicles[],2+USC?,0))+$A16-SQRT($A16^2-VLOOKUP(Type,Vehicles[],8+USC?,0)))+_C)+(_N-1)*(SQRT($A16^2+VLOOKUP(Type,Vehicles[],4+USC?,0)*(2*VLOOKUP(Type,Vehicles[],6+USC?,0)+VLOOKUP(Type,Vehicles[],4+USC?,0)))-$A16)+IF(USC?,1,0.1)*(D$6/SQRT($A16))-_N/2*_Wn,1),0),""))</f>
        <v>1.8</v>
      </c>
      <c r="E16" s="4">
        <f ca="1">IF($A16&lt;E$48,"",IFERROR(MAX(ROUND(_N*(((VLOOKUP(Type,Vehicles[],2+USC?,0))+$A16-SQRT($A16^2-VLOOKUP(Type,Vehicles[],8+USC?,0)))+_C)+(_N-1)*(SQRT($A16^2+VLOOKUP(Type,Vehicles[],4+USC?,0)*(2*VLOOKUP(Type,Vehicles[],6+USC?,0)+VLOOKUP(Type,Vehicles[],4+USC?,0)))-$A16)+IF(USC?,1,0.1)*(E$6/SQRT($A16))-_N/2*_Wn,1),0),""))</f>
        <v>2.1</v>
      </c>
      <c r="F16" s="4">
        <f ca="1">IF($A16&lt;F$48,"",IFERROR(MAX(ROUND(_N*(((VLOOKUP(Type,Vehicles[],2+USC?,0))+$A16-SQRT($A16^2-VLOOKUP(Type,Vehicles[],8+USC?,0)))+_C)+(_N-1)*(SQRT($A16^2+VLOOKUP(Type,Vehicles[],4+USC?,0)*(2*VLOOKUP(Type,Vehicles[],6+USC?,0)+VLOOKUP(Type,Vehicles[],4+USC?,0)))-$A16)+IF(USC?,1,0.1)*(F$6/SQRT($A16))-_N/2*_Wn,1),0),""))</f>
        <v>2.2999999999999998</v>
      </c>
      <c r="G16" s="4">
        <f ca="1">IF($A16&lt;G$48,"",IFERROR(MAX(ROUND(_N*(((VLOOKUP(Type,Vehicles[],2+USC?,0))+$A16-SQRT($A16^2-VLOOKUP(Type,Vehicles[],8+USC?,0)))+_C)+(_N-1)*(SQRT($A16^2+VLOOKUP(Type,Vehicles[],4+USC?,0)*(2*VLOOKUP(Type,Vehicles[],6+USC?,0)+VLOOKUP(Type,Vehicles[],4+USC?,0)))-$A16)+IF(USC?,1,0.1)*(G$6/SQRT($A16))-_N/2*_Wn,1),0),""))</f>
        <v>2.5</v>
      </c>
      <c r="H16" s="4">
        <f ca="1">IF($A16&lt;H$48,"",IFERROR(MAX(ROUND(_N*(((VLOOKUP(Type,Vehicles[],2+USC?,0))+$A16-SQRT($A16^2-VLOOKUP(Type,Vehicles[],8+USC?,0)))+_C)+(_N-1)*(SQRT($A16^2+VLOOKUP(Type,Vehicles[],4+USC?,0)*(2*VLOOKUP(Type,Vehicles[],6+USC?,0)+VLOOKUP(Type,Vehicles[],4+USC?,0)))-$A16)+IF(USC?,1,0.1)*(H$6/SQRT($A16))-_N/2*_Wn,1),0),""))</f>
        <v>2.8</v>
      </c>
      <c r="I16" s="4" t="str">
        <f ca="1">IF($A16&lt;I$48,"",IFERROR(MAX(ROUND(_N*(((VLOOKUP(Type,Vehicles[],2+USC?,0))+$A16-SQRT($A16^2-VLOOKUP(Type,Vehicles[],8+USC?,0)))+_C)+(_N-1)*(SQRT($A16^2+VLOOKUP(Type,Vehicles[],4+USC?,0)*(2*VLOOKUP(Type,Vehicles[],6+USC?,0)+VLOOKUP(Type,Vehicles[],4+USC?,0)))-$A16)+IF(USC?,1,0.1)*(I$6/SQRT($A16))-_N/2*_Wn,1),0),""))</f>
        <v/>
      </c>
      <c r="J16" s="4" t="str">
        <f ca="1">IF($A16&lt;J$48,"",IFERROR(MAX(ROUND(_N*(((VLOOKUP(Type,Vehicles[],2+USC?,0))+$A16-SQRT($A16^2-VLOOKUP(Type,Vehicles[],8+USC?,0)))+_C)+(_N-1)*(SQRT($A16^2+VLOOKUP(Type,Vehicles[],4+USC?,0)*(2*VLOOKUP(Type,Vehicles[],6+USC?,0)+VLOOKUP(Type,Vehicles[],4+USC?,0)))-$A16)+IF(USC?,1,0.1)*(J$6/SQRT($A16))-_N/2*_Wn,1),0),""))</f>
        <v/>
      </c>
      <c r="K16" s="4" t="str">
        <f ca="1">IF($A16&lt;K$48,"",IFERROR(MAX(ROUND(_N*(((VLOOKUP(Type,Vehicles[],2+USC?,0))+$A16-SQRT($A16^2-VLOOKUP(Type,Vehicles[],8+USC?,0)))+_C)+(_N-1)*(SQRT($A16^2+VLOOKUP(Type,Vehicles[],4+USC?,0)*(2*VLOOKUP(Type,Vehicles[],6+USC?,0)+VLOOKUP(Type,Vehicles[],4+USC?,0)))-$A16)+IF(USC?,1,0.1)*(K$6/SQRT($A16))-_N/2*_Wn,1),0),""))</f>
        <v/>
      </c>
      <c r="L16" s="4" t="str">
        <f ca="1">IF($A16&lt;L$48,"",IFERROR(MAX(ROUND(_N*(((VLOOKUP(Type,Vehicles[],2+USC?,0))+$A16-SQRT($A16^2-VLOOKUP(Type,Vehicles[],8+USC?,0)))+_C)+(_N-1)*(SQRT($A16^2+VLOOKUP(Type,Vehicles[],4+USC?,0)*(2*VLOOKUP(Type,Vehicles[],6+USC?,0)+VLOOKUP(Type,Vehicles[],4+USC?,0)))-$A16)+IF(USC?,1,0.1)*(L$6/SQRT($A16))-_N/2*_Wn,1),0),""))</f>
        <v/>
      </c>
      <c r="M16" s="4" t="str">
        <f ca="1">IF($A16&lt;M$48,"",IFERROR(MAX(ROUND(_N*(((VLOOKUP(Type,Vehicles[],2+USC?,0))+$A16-SQRT($A16^2-VLOOKUP(Type,Vehicles[],8+USC?,0)))+_C)+(_N-1)*(SQRT($A16^2+VLOOKUP(Type,Vehicles[],4+USC?,0)*(2*VLOOKUP(Type,Vehicles[],6+USC?,0)+VLOOKUP(Type,Vehicles[],4+USC?,0)))-$A16)+IF(USC?,1,0.1)*(M$6/SQRT($A16))-_N/2*_Wn,1),0),""))</f>
        <v/>
      </c>
      <c r="N16" s="4" t="str">
        <f ca="1">IF($A16&lt;N$48,"",IFERROR(MAX(ROUND(_N*(((VLOOKUP(Type,Vehicles[],2+USC?,0))+$A16-SQRT($A16^2-VLOOKUP(Type,Vehicles[],8+USC?,0)))+_C)+(_N-1)*(SQRT($A16^2+VLOOKUP(Type,Vehicles[],4+USC?,0)*(2*VLOOKUP(Type,Vehicles[],6+USC?,0)+VLOOKUP(Type,Vehicles[],4+USC?,0)))-$A16)+IF(USC?,1,0.1)*(N$6/SQRT($A16))-_N/2*_Wn,1),0),""))</f>
        <v/>
      </c>
      <c r="O16" s="4" t="str">
        <f ca="1">IF($A16&lt;O$48,"",IFERROR(MAX(ROUND(_N*(((VLOOKUP(Type,Vehicles[],2+USC?,0))+$A16-SQRT($A16^2-VLOOKUP(Type,Vehicles[],8+USC?,0)))+_C)+(_N-1)*(SQRT($A16^2+VLOOKUP(Type,Vehicles[],4+USC?,0)*(2*VLOOKUP(Type,Vehicles[],6+USC?,0)+VLOOKUP(Type,Vehicles[],4+USC?,0)))-$A16)+IF(USC?,1,0.1)*(O$6/SQRT($A16))-_N/2*_Wn,1),0),""))</f>
        <v/>
      </c>
      <c r="P16" s="4" t="str">
        <f ca="1">IF($A16&lt;P$48,"",IFERROR(MAX(ROUND(_N*(((VLOOKUP(Type,Vehicles[],2+USC?,0))+$A16-SQRT($A16^2-VLOOKUP(Type,Vehicles[],8+USC?,0)))+_C)+(_N-1)*(SQRT($A16^2+VLOOKUP(Type,Vehicles[],4+USC?,0)*(2*VLOOKUP(Type,Vehicles[],6+USC?,0)+VLOOKUP(Type,Vehicles[],4+USC?,0)))-$A16)+IF(USC?,1,0.1)*(P$6/SQRT($A16))-_N/2*_Wn,1),0),""))</f>
        <v/>
      </c>
    </row>
    <row r="17" spans="1:16" x14ac:dyDescent="0.2">
      <c r="A17" s="22">
        <f ca="1">IFERROR(INDEX(Radius.List[Radius],ROW(A17)-ROW(A$6)-1+IF(LEN(Max.Radius)&gt;0,MATCH(Max.Radius,Radius.List[Radius],0)-1,IFERROR(MATCH(IF(USC?,1.6,0.5),Radius.List[Widening],1)-1,0))),"")</f>
        <v>400</v>
      </c>
      <c r="B17" s="4">
        <f ca="1">IF($A17&lt;B$48,"",IFERROR(MAX(ROUND(_N*(((VLOOKUP(Type,Vehicles[],2+USC?,0))+$A17-SQRT($A17^2-VLOOKUP(Type,Vehicles[],8+USC?,0)))+_C)+(_N-1)*(SQRT($A17^2+VLOOKUP(Type,Vehicles[],4+USC?,0)*(2*VLOOKUP(Type,Vehicles[],6+USC?,0)+VLOOKUP(Type,Vehicles[],4+USC?,0)))-$A17)+IF(USC?,1,0.1)*(B$6/SQRT($A17))-_N/2*_Wn,1),0),""))</f>
        <v>1.6</v>
      </c>
      <c r="C17" s="4">
        <f ca="1">IF($A17&lt;C$48,"",IFERROR(MAX(ROUND(_N*(((VLOOKUP(Type,Vehicles[],2+USC?,0))+$A17-SQRT($A17^2-VLOOKUP(Type,Vehicles[],8+USC?,0)))+_C)+(_N-1)*(SQRT($A17^2+VLOOKUP(Type,Vehicles[],4+USC?,0)*(2*VLOOKUP(Type,Vehicles[],6+USC?,0)+VLOOKUP(Type,Vehicles[],4+USC?,0)))-$A17)+IF(USC?,1,0.1)*(C$6/SQRT($A17))-_N/2*_Wn,1),0),""))</f>
        <v>1.9</v>
      </c>
      <c r="D17" s="4">
        <f ca="1">IF($A17&lt;D$48,"",IFERROR(MAX(ROUND(_N*(((VLOOKUP(Type,Vehicles[],2+USC?,0))+$A17-SQRT($A17^2-VLOOKUP(Type,Vehicles[],8+USC?,0)))+_C)+(_N-1)*(SQRT($A17^2+VLOOKUP(Type,Vehicles[],4+USC?,0)*(2*VLOOKUP(Type,Vehicles[],6+USC?,0)+VLOOKUP(Type,Vehicles[],4+USC?,0)))-$A17)+IF(USC?,1,0.1)*(D$6/SQRT($A17))-_N/2*_Wn,1),0),""))</f>
        <v>2.1</v>
      </c>
      <c r="E17" s="4">
        <f ca="1">IF($A17&lt;E$48,"",IFERROR(MAX(ROUND(_N*(((VLOOKUP(Type,Vehicles[],2+USC?,0))+$A17-SQRT($A17^2-VLOOKUP(Type,Vehicles[],8+USC?,0)))+_C)+(_N-1)*(SQRT($A17^2+VLOOKUP(Type,Vehicles[],4+USC?,0)*(2*VLOOKUP(Type,Vehicles[],6+USC?,0)+VLOOKUP(Type,Vehicles[],4+USC?,0)))-$A17)+IF(USC?,1,0.1)*(E$6/SQRT($A17))-_N/2*_Wn,1),0),""))</f>
        <v>2.4</v>
      </c>
      <c r="F17" s="4">
        <f ca="1">IF($A17&lt;F$48,"",IFERROR(MAX(ROUND(_N*(((VLOOKUP(Type,Vehicles[],2+USC?,0))+$A17-SQRT($A17^2-VLOOKUP(Type,Vehicles[],8+USC?,0)))+_C)+(_N-1)*(SQRT($A17^2+VLOOKUP(Type,Vehicles[],4+USC?,0)*(2*VLOOKUP(Type,Vehicles[],6+USC?,0)+VLOOKUP(Type,Vehicles[],4+USC?,0)))-$A17)+IF(USC?,1,0.1)*(F$6/SQRT($A17))-_N/2*_Wn,1),0),""))</f>
        <v>2.6</v>
      </c>
      <c r="G17" s="4">
        <f ca="1">IF($A17&lt;G$48,"",IFERROR(MAX(ROUND(_N*(((VLOOKUP(Type,Vehicles[],2+USC?,0))+$A17-SQRT($A17^2-VLOOKUP(Type,Vehicles[],8+USC?,0)))+_C)+(_N-1)*(SQRT($A17^2+VLOOKUP(Type,Vehicles[],4+USC?,0)*(2*VLOOKUP(Type,Vehicles[],6+USC?,0)+VLOOKUP(Type,Vehicles[],4+USC?,0)))-$A17)+IF(USC?,1,0.1)*(G$6/SQRT($A17))-_N/2*_Wn,1),0),""))</f>
        <v>2.9</v>
      </c>
      <c r="H17" s="4">
        <f ca="1">IF($A17&lt;H$48,"",IFERROR(MAX(ROUND(_N*(((VLOOKUP(Type,Vehicles[],2+USC?,0))+$A17-SQRT($A17^2-VLOOKUP(Type,Vehicles[],8+USC?,0)))+_C)+(_N-1)*(SQRT($A17^2+VLOOKUP(Type,Vehicles[],4+USC?,0)*(2*VLOOKUP(Type,Vehicles[],6+USC?,0)+VLOOKUP(Type,Vehicles[],4+USC?,0)))-$A17)+IF(USC?,1,0.1)*(H$6/SQRT($A17))-_N/2*_Wn,1),0),""))</f>
        <v>3.1</v>
      </c>
      <c r="I17" s="4" t="str">
        <f ca="1">IF($A17&lt;I$48,"",IFERROR(MAX(ROUND(_N*(((VLOOKUP(Type,Vehicles[],2+USC?,0))+$A17-SQRT($A17^2-VLOOKUP(Type,Vehicles[],8+USC?,0)))+_C)+(_N-1)*(SQRT($A17^2+VLOOKUP(Type,Vehicles[],4+USC?,0)*(2*VLOOKUP(Type,Vehicles[],6+USC?,0)+VLOOKUP(Type,Vehicles[],4+USC?,0)))-$A17)+IF(USC?,1,0.1)*(I$6/SQRT($A17))-_N/2*_Wn,1),0),""))</f>
        <v/>
      </c>
      <c r="J17" s="4" t="str">
        <f ca="1">IF($A17&lt;J$48,"",IFERROR(MAX(ROUND(_N*(((VLOOKUP(Type,Vehicles[],2+USC?,0))+$A17-SQRT($A17^2-VLOOKUP(Type,Vehicles[],8+USC?,0)))+_C)+(_N-1)*(SQRT($A17^2+VLOOKUP(Type,Vehicles[],4+USC?,0)*(2*VLOOKUP(Type,Vehicles[],6+USC?,0)+VLOOKUP(Type,Vehicles[],4+USC?,0)))-$A17)+IF(USC?,1,0.1)*(J$6/SQRT($A17))-_N/2*_Wn,1),0),""))</f>
        <v/>
      </c>
      <c r="K17" s="4" t="str">
        <f ca="1">IF($A17&lt;K$48,"",IFERROR(MAX(ROUND(_N*(((VLOOKUP(Type,Vehicles[],2+USC?,0))+$A17-SQRT($A17^2-VLOOKUP(Type,Vehicles[],8+USC?,0)))+_C)+(_N-1)*(SQRT($A17^2+VLOOKUP(Type,Vehicles[],4+USC?,0)*(2*VLOOKUP(Type,Vehicles[],6+USC?,0)+VLOOKUP(Type,Vehicles[],4+USC?,0)))-$A17)+IF(USC?,1,0.1)*(K$6/SQRT($A17))-_N/2*_Wn,1),0),""))</f>
        <v/>
      </c>
      <c r="L17" s="4" t="str">
        <f ca="1">IF($A17&lt;L$48,"",IFERROR(MAX(ROUND(_N*(((VLOOKUP(Type,Vehicles[],2+USC?,0))+$A17-SQRT($A17^2-VLOOKUP(Type,Vehicles[],8+USC?,0)))+_C)+(_N-1)*(SQRT($A17^2+VLOOKUP(Type,Vehicles[],4+USC?,0)*(2*VLOOKUP(Type,Vehicles[],6+USC?,0)+VLOOKUP(Type,Vehicles[],4+USC?,0)))-$A17)+IF(USC?,1,0.1)*(L$6/SQRT($A17))-_N/2*_Wn,1),0),""))</f>
        <v/>
      </c>
      <c r="M17" s="4" t="str">
        <f ca="1">IF($A17&lt;M$48,"",IFERROR(MAX(ROUND(_N*(((VLOOKUP(Type,Vehicles[],2+USC?,0))+$A17-SQRT($A17^2-VLOOKUP(Type,Vehicles[],8+USC?,0)))+_C)+(_N-1)*(SQRT($A17^2+VLOOKUP(Type,Vehicles[],4+USC?,0)*(2*VLOOKUP(Type,Vehicles[],6+USC?,0)+VLOOKUP(Type,Vehicles[],4+USC?,0)))-$A17)+IF(USC?,1,0.1)*(M$6/SQRT($A17))-_N/2*_Wn,1),0),""))</f>
        <v/>
      </c>
      <c r="N17" s="4" t="str">
        <f ca="1">IF($A17&lt;N$48,"",IFERROR(MAX(ROUND(_N*(((VLOOKUP(Type,Vehicles[],2+USC?,0))+$A17-SQRT($A17^2-VLOOKUP(Type,Vehicles[],8+USC?,0)))+_C)+(_N-1)*(SQRT($A17^2+VLOOKUP(Type,Vehicles[],4+USC?,0)*(2*VLOOKUP(Type,Vehicles[],6+USC?,0)+VLOOKUP(Type,Vehicles[],4+USC?,0)))-$A17)+IF(USC?,1,0.1)*(N$6/SQRT($A17))-_N/2*_Wn,1),0),""))</f>
        <v/>
      </c>
      <c r="O17" s="4" t="str">
        <f ca="1">IF($A17&lt;O$48,"",IFERROR(MAX(ROUND(_N*(((VLOOKUP(Type,Vehicles[],2+USC?,0))+$A17-SQRT($A17^2-VLOOKUP(Type,Vehicles[],8+USC?,0)))+_C)+(_N-1)*(SQRT($A17^2+VLOOKUP(Type,Vehicles[],4+USC?,0)*(2*VLOOKUP(Type,Vehicles[],6+USC?,0)+VLOOKUP(Type,Vehicles[],4+USC?,0)))-$A17)+IF(USC?,1,0.1)*(O$6/SQRT($A17))-_N/2*_Wn,1),0),""))</f>
        <v/>
      </c>
      <c r="P17" s="4" t="str">
        <f ca="1">IF($A17&lt;P$48,"",IFERROR(MAX(ROUND(_N*(((VLOOKUP(Type,Vehicles[],2+USC?,0))+$A17-SQRT($A17^2-VLOOKUP(Type,Vehicles[],8+USC?,0)))+_C)+(_N-1)*(SQRT($A17^2+VLOOKUP(Type,Vehicles[],4+USC?,0)*(2*VLOOKUP(Type,Vehicles[],6+USC?,0)+VLOOKUP(Type,Vehicles[],4+USC?,0)))-$A17)+IF(USC?,1,0.1)*(P$6/SQRT($A17))-_N/2*_Wn,1),0),""))</f>
        <v/>
      </c>
    </row>
    <row r="18" spans="1:16" x14ac:dyDescent="0.2">
      <c r="A18" s="22">
        <f ca="1">IFERROR(INDEX(Radius.List[Radius],ROW(A18)-ROW(A$6)-1+IF(LEN(Max.Radius)&gt;0,MATCH(Max.Radius,Radius.List[Radius],0)-1,IFERROR(MATCH(IF(USC?,1.6,0.5),Radius.List[Widening],1)-1,0))),"")</f>
        <v>350</v>
      </c>
      <c r="B18" s="4">
        <f ca="1">IF($A18&lt;B$48,"",IFERROR(MAX(ROUND(_N*(((VLOOKUP(Type,Vehicles[],2+USC?,0))+$A18-SQRT($A18^2-VLOOKUP(Type,Vehicles[],8+USC?,0)))+_C)+(_N-1)*(SQRT($A18^2+VLOOKUP(Type,Vehicles[],4+USC?,0)*(2*VLOOKUP(Type,Vehicles[],6+USC?,0)+VLOOKUP(Type,Vehicles[],4+USC?,0)))-$A18)+IF(USC?,1,0.1)*(B$6/SQRT($A18))-_N/2*_Wn,1),0),""))</f>
        <v>2</v>
      </c>
      <c r="C18" s="4">
        <f ca="1">IF($A18&lt;C$48,"",IFERROR(MAX(ROUND(_N*(((VLOOKUP(Type,Vehicles[],2+USC?,0))+$A18-SQRT($A18^2-VLOOKUP(Type,Vehicles[],8+USC?,0)))+_C)+(_N-1)*(SQRT($A18^2+VLOOKUP(Type,Vehicles[],4+USC?,0)*(2*VLOOKUP(Type,Vehicles[],6+USC?,0)+VLOOKUP(Type,Vehicles[],4+USC?,0)))-$A18)+IF(USC?,1,0.1)*(C$6/SQRT($A18))-_N/2*_Wn,1),0),""))</f>
        <v>2.2000000000000002</v>
      </c>
      <c r="D18" s="4">
        <f ca="1">IF($A18&lt;D$48,"",IFERROR(MAX(ROUND(_N*(((VLOOKUP(Type,Vehicles[],2+USC?,0))+$A18-SQRT($A18^2-VLOOKUP(Type,Vehicles[],8+USC?,0)))+_C)+(_N-1)*(SQRT($A18^2+VLOOKUP(Type,Vehicles[],4+USC?,0)*(2*VLOOKUP(Type,Vehicles[],6+USC?,0)+VLOOKUP(Type,Vehicles[],4+USC?,0)))-$A18)+IF(USC?,1,0.1)*(D$6/SQRT($A18))-_N/2*_Wn,1),0),""))</f>
        <v>2.5</v>
      </c>
      <c r="E18" s="4">
        <f ca="1">IF($A18&lt;E$48,"",IFERROR(MAX(ROUND(_N*(((VLOOKUP(Type,Vehicles[],2+USC?,0))+$A18-SQRT($A18^2-VLOOKUP(Type,Vehicles[],8+USC?,0)))+_C)+(_N-1)*(SQRT($A18^2+VLOOKUP(Type,Vehicles[],4+USC?,0)*(2*VLOOKUP(Type,Vehicles[],6+USC?,0)+VLOOKUP(Type,Vehicles[],4+USC?,0)))-$A18)+IF(USC?,1,0.1)*(E$6/SQRT($A18))-_N/2*_Wn,1),0),""))</f>
        <v>2.8</v>
      </c>
      <c r="F18" s="4">
        <f ca="1">IF($A18&lt;F$48,"",IFERROR(MAX(ROUND(_N*(((VLOOKUP(Type,Vehicles[],2+USC?,0))+$A18-SQRT($A18^2-VLOOKUP(Type,Vehicles[],8+USC?,0)))+_C)+(_N-1)*(SQRT($A18^2+VLOOKUP(Type,Vehicles[],4+USC?,0)*(2*VLOOKUP(Type,Vehicles[],6+USC?,0)+VLOOKUP(Type,Vehicles[],4+USC?,0)))-$A18)+IF(USC?,1,0.1)*(F$6/SQRT($A18))-_N/2*_Wn,1),0),""))</f>
        <v>3</v>
      </c>
      <c r="G18" s="4">
        <f ca="1">IF($A18&lt;G$48,"",IFERROR(MAX(ROUND(_N*(((VLOOKUP(Type,Vehicles[],2+USC?,0))+$A18-SQRT($A18^2-VLOOKUP(Type,Vehicles[],8+USC?,0)))+_C)+(_N-1)*(SQRT($A18^2+VLOOKUP(Type,Vehicles[],4+USC?,0)*(2*VLOOKUP(Type,Vehicles[],6+USC?,0)+VLOOKUP(Type,Vehicles[],4+USC?,0)))-$A18)+IF(USC?,1,0.1)*(G$6/SQRT($A18))-_N/2*_Wn,1),0),""))</f>
        <v>3.3</v>
      </c>
      <c r="H18" s="4" t="str">
        <f ca="1">IF($A18&lt;H$48,"",IFERROR(MAX(ROUND(_N*(((VLOOKUP(Type,Vehicles[],2+USC?,0))+$A18-SQRT($A18^2-VLOOKUP(Type,Vehicles[],8+USC?,0)))+_C)+(_N-1)*(SQRT($A18^2+VLOOKUP(Type,Vehicles[],4+USC?,0)*(2*VLOOKUP(Type,Vehicles[],6+USC?,0)+VLOOKUP(Type,Vehicles[],4+USC?,0)))-$A18)+IF(USC?,1,0.1)*(H$6/SQRT($A18))-_N/2*_Wn,1),0),""))</f>
        <v/>
      </c>
      <c r="I18" s="4" t="str">
        <f ca="1">IF($A18&lt;I$48,"",IFERROR(MAX(ROUND(_N*(((VLOOKUP(Type,Vehicles[],2+USC?,0))+$A18-SQRT($A18^2-VLOOKUP(Type,Vehicles[],8+USC?,0)))+_C)+(_N-1)*(SQRT($A18^2+VLOOKUP(Type,Vehicles[],4+USC?,0)*(2*VLOOKUP(Type,Vehicles[],6+USC?,0)+VLOOKUP(Type,Vehicles[],4+USC?,0)))-$A18)+IF(USC?,1,0.1)*(I$6/SQRT($A18))-_N/2*_Wn,1),0),""))</f>
        <v/>
      </c>
      <c r="J18" s="4" t="str">
        <f ca="1">IF($A18&lt;J$48,"",IFERROR(MAX(ROUND(_N*(((VLOOKUP(Type,Vehicles[],2+USC?,0))+$A18-SQRT($A18^2-VLOOKUP(Type,Vehicles[],8+USC?,0)))+_C)+(_N-1)*(SQRT($A18^2+VLOOKUP(Type,Vehicles[],4+USC?,0)*(2*VLOOKUP(Type,Vehicles[],6+USC?,0)+VLOOKUP(Type,Vehicles[],4+USC?,0)))-$A18)+IF(USC?,1,0.1)*(J$6/SQRT($A18))-_N/2*_Wn,1),0),""))</f>
        <v/>
      </c>
      <c r="K18" s="4" t="str">
        <f ca="1">IF($A18&lt;K$48,"",IFERROR(MAX(ROUND(_N*(((VLOOKUP(Type,Vehicles[],2+USC?,0))+$A18-SQRT($A18^2-VLOOKUP(Type,Vehicles[],8+USC?,0)))+_C)+(_N-1)*(SQRT($A18^2+VLOOKUP(Type,Vehicles[],4+USC?,0)*(2*VLOOKUP(Type,Vehicles[],6+USC?,0)+VLOOKUP(Type,Vehicles[],4+USC?,0)))-$A18)+IF(USC?,1,0.1)*(K$6/SQRT($A18))-_N/2*_Wn,1),0),""))</f>
        <v/>
      </c>
      <c r="L18" s="4" t="str">
        <f ca="1">IF($A18&lt;L$48,"",IFERROR(MAX(ROUND(_N*(((VLOOKUP(Type,Vehicles[],2+USC?,0))+$A18-SQRT($A18^2-VLOOKUP(Type,Vehicles[],8+USC?,0)))+_C)+(_N-1)*(SQRT($A18^2+VLOOKUP(Type,Vehicles[],4+USC?,0)*(2*VLOOKUP(Type,Vehicles[],6+USC?,0)+VLOOKUP(Type,Vehicles[],4+USC?,0)))-$A18)+IF(USC?,1,0.1)*(L$6/SQRT($A18))-_N/2*_Wn,1),0),""))</f>
        <v/>
      </c>
      <c r="M18" s="4" t="str">
        <f ca="1">IF($A18&lt;M$48,"",IFERROR(MAX(ROUND(_N*(((VLOOKUP(Type,Vehicles[],2+USC?,0))+$A18-SQRT($A18^2-VLOOKUP(Type,Vehicles[],8+USC?,0)))+_C)+(_N-1)*(SQRT($A18^2+VLOOKUP(Type,Vehicles[],4+USC?,0)*(2*VLOOKUP(Type,Vehicles[],6+USC?,0)+VLOOKUP(Type,Vehicles[],4+USC?,0)))-$A18)+IF(USC?,1,0.1)*(M$6/SQRT($A18))-_N/2*_Wn,1),0),""))</f>
        <v/>
      </c>
      <c r="N18" s="4" t="str">
        <f ca="1">IF($A18&lt;N$48,"",IFERROR(MAX(ROUND(_N*(((VLOOKUP(Type,Vehicles[],2+USC?,0))+$A18-SQRT($A18^2-VLOOKUP(Type,Vehicles[],8+USC?,0)))+_C)+(_N-1)*(SQRT($A18^2+VLOOKUP(Type,Vehicles[],4+USC?,0)*(2*VLOOKUP(Type,Vehicles[],6+USC?,0)+VLOOKUP(Type,Vehicles[],4+USC?,0)))-$A18)+IF(USC?,1,0.1)*(N$6/SQRT($A18))-_N/2*_Wn,1),0),""))</f>
        <v/>
      </c>
      <c r="O18" s="4" t="str">
        <f ca="1">IF($A18&lt;O$48,"",IFERROR(MAX(ROUND(_N*(((VLOOKUP(Type,Vehicles[],2+USC?,0))+$A18-SQRT($A18^2-VLOOKUP(Type,Vehicles[],8+USC?,0)))+_C)+(_N-1)*(SQRT($A18^2+VLOOKUP(Type,Vehicles[],4+USC?,0)*(2*VLOOKUP(Type,Vehicles[],6+USC?,0)+VLOOKUP(Type,Vehicles[],4+USC?,0)))-$A18)+IF(USC?,1,0.1)*(O$6/SQRT($A18))-_N/2*_Wn,1),0),""))</f>
        <v/>
      </c>
      <c r="P18" s="4" t="str">
        <f ca="1">IF($A18&lt;P$48,"",IFERROR(MAX(ROUND(_N*(((VLOOKUP(Type,Vehicles[],2+USC?,0))+$A18-SQRT($A18^2-VLOOKUP(Type,Vehicles[],8+USC?,0)))+_C)+(_N-1)*(SQRT($A18^2+VLOOKUP(Type,Vehicles[],4+USC?,0)*(2*VLOOKUP(Type,Vehicles[],6+USC?,0)+VLOOKUP(Type,Vehicles[],4+USC?,0)))-$A18)+IF(USC?,1,0.1)*(P$6/SQRT($A18))-_N/2*_Wn,1),0),""))</f>
        <v/>
      </c>
    </row>
    <row r="19" spans="1:16" x14ac:dyDescent="0.2">
      <c r="A19" s="22">
        <f ca="1">IFERROR(INDEX(Radius.List[Radius],ROW(A19)-ROW(A$6)-1+IF(LEN(Max.Radius)&gt;0,MATCH(Max.Radius,Radius.List[Radius],0)-1,IFERROR(MATCH(IF(USC?,1.6,0.5),Radius.List[Widening],1)-1,0))),"")</f>
        <v>300</v>
      </c>
      <c r="B19" s="4">
        <f ca="1">IF($A19&lt;B$48,"",IFERROR(MAX(ROUND(_N*(((VLOOKUP(Type,Vehicles[],2+USC?,0))+$A19-SQRT($A19^2-VLOOKUP(Type,Vehicles[],8+USC?,0)))+_C)+(_N-1)*(SQRT($A19^2+VLOOKUP(Type,Vehicles[],4+USC?,0)*(2*VLOOKUP(Type,Vehicles[],6+USC?,0)+VLOOKUP(Type,Vehicles[],4+USC?,0)))-$A19)+IF(USC?,1,0.1)*(B$6/SQRT($A19))-_N/2*_Wn,1),0),""))</f>
        <v>2.4</v>
      </c>
      <c r="C19" s="4">
        <f ca="1">IF($A19&lt;C$48,"",IFERROR(MAX(ROUND(_N*(((VLOOKUP(Type,Vehicles[],2+USC?,0))+$A19-SQRT($A19^2-VLOOKUP(Type,Vehicles[],8+USC?,0)))+_C)+(_N-1)*(SQRT($A19^2+VLOOKUP(Type,Vehicles[],4+USC?,0)*(2*VLOOKUP(Type,Vehicles[],6+USC?,0)+VLOOKUP(Type,Vehicles[],4+USC?,0)))-$A19)+IF(USC?,1,0.1)*(C$6/SQRT($A19))-_N/2*_Wn,1),0),""))</f>
        <v>2.7</v>
      </c>
      <c r="D19" s="4">
        <f ca="1">IF($A19&lt;D$48,"",IFERROR(MAX(ROUND(_N*(((VLOOKUP(Type,Vehicles[],2+USC?,0))+$A19-SQRT($A19^2-VLOOKUP(Type,Vehicles[],8+USC?,0)))+_C)+(_N-1)*(SQRT($A19^2+VLOOKUP(Type,Vehicles[],4+USC?,0)*(2*VLOOKUP(Type,Vehicles[],6+USC?,0)+VLOOKUP(Type,Vehicles[],4+USC?,0)))-$A19)+IF(USC?,1,0.1)*(D$6/SQRT($A19))-_N/2*_Wn,1),0),""))</f>
        <v>3</v>
      </c>
      <c r="E19" s="4">
        <f ca="1">IF($A19&lt;E$48,"",IFERROR(MAX(ROUND(_N*(((VLOOKUP(Type,Vehicles[],2+USC?,0))+$A19-SQRT($A19^2-VLOOKUP(Type,Vehicles[],8+USC?,0)))+_C)+(_N-1)*(SQRT($A19^2+VLOOKUP(Type,Vehicles[],4+USC?,0)*(2*VLOOKUP(Type,Vehicles[],6+USC?,0)+VLOOKUP(Type,Vehicles[],4+USC?,0)))-$A19)+IF(USC?,1,0.1)*(E$6/SQRT($A19))-_N/2*_Wn,1),0),""))</f>
        <v>3.3</v>
      </c>
      <c r="F19" s="4">
        <f ca="1">IF($A19&lt;F$48,"",IFERROR(MAX(ROUND(_N*(((VLOOKUP(Type,Vehicles[],2+USC?,0))+$A19-SQRT($A19^2-VLOOKUP(Type,Vehicles[],8+USC?,0)))+_C)+(_N-1)*(SQRT($A19^2+VLOOKUP(Type,Vehicles[],4+USC?,0)*(2*VLOOKUP(Type,Vehicles[],6+USC?,0)+VLOOKUP(Type,Vehicles[],4+USC?,0)))-$A19)+IF(USC?,1,0.1)*(F$6/SQRT($A19))-_N/2*_Wn,1),0),""))</f>
        <v>3.6</v>
      </c>
      <c r="G19" s="4">
        <f ca="1">IF($A19&lt;G$48,"",IFERROR(MAX(ROUND(_N*(((VLOOKUP(Type,Vehicles[],2+USC?,0))+$A19-SQRT($A19^2-VLOOKUP(Type,Vehicles[],8+USC?,0)))+_C)+(_N-1)*(SQRT($A19^2+VLOOKUP(Type,Vehicles[],4+USC?,0)*(2*VLOOKUP(Type,Vehicles[],6+USC?,0)+VLOOKUP(Type,Vehicles[],4+USC?,0)))-$A19)+IF(USC?,1,0.1)*(G$6/SQRT($A19))-_N/2*_Wn,1),0),""))</f>
        <v>3.9</v>
      </c>
      <c r="H19" s="4" t="str">
        <f ca="1">IF($A19&lt;H$48,"",IFERROR(MAX(ROUND(_N*(((VLOOKUP(Type,Vehicles[],2+USC?,0))+$A19-SQRT($A19^2-VLOOKUP(Type,Vehicles[],8+USC?,0)))+_C)+(_N-1)*(SQRT($A19^2+VLOOKUP(Type,Vehicles[],4+USC?,0)*(2*VLOOKUP(Type,Vehicles[],6+USC?,0)+VLOOKUP(Type,Vehicles[],4+USC?,0)))-$A19)+IF(USC?,1,0.1)*(H$6/SQRT($A19))-_N/2*_Wn,1),0),""))</f>
        <v/>
      </c>
      <c r="I19" s="4" t="str">
        <f ca="1">IF($A19&lt;I$48,"",IFERROR(MAX(ROUND(_N*(((VLOOKUP(Type,Vehicles[],2+USC?,0))+$A19-SQRT($A19^2-VLOOKUP(Type,Vehicles[],8+USC?,0)))+_C)+(_N-1)*(SQRT($A19^2+VLOOKUP(Type,Vehicles[],4+USC?,0)*(2*VLOOKUP(Type,Vehicles[],6+USC?,0)+VLOOKUP(Type,Vehicles[],4+USC?,0)))-$A19)+IF(USC?,1,0.1)*(I$6/SQRT($A19))-_N/2*_Wn,1),0),""))</f>
        <v/>
      </c>
      <c r="J19" s="4" t="str">
        <f ca="1">IF($A19&lt;J$48,"",IFERROR(MAX(ROUND(_N*(((VLOOKUP(Type,Vehicles[],2+USC?,0))+$A19-SQRT($A19^2-VLOOKUP(Type,Vehicles[],8+USC?,0)))+_C)+(_N-1)*(SQRT($A19^2+VLOOKUP(Type,Vehicles[],4+USC?,0)*(2*VLOOKUP(Type,Vehicles[],6+USC?,0)+VLOOKUP(Type,Vehicles[],4+USC?,0)))-$A19)+IF(USC?,1,0.1)*(J$6/SQRT($A19))-_N/2*_Wn,1),0),""))</f>
        <v/>
      </c>
      <c r="K19" s="4" t="str">
        <f ca="1">IF($A19&lt;K$48,"",IFERROR(MAX(ROUND(_N*(((VLOOKUP(Type,Vehicles[],2+USC?,0))+$A19-SQRT($A19^2-VLOOKUP(Type,Vehicles[],8+USC?,0)))+_C)+(_N-1)*(SQRT($A19^2+VLOOKUP(Type,Vehicles[],4+USC?,0)*(2*VLOOKUP(Type,Vehicles[],6+USC?,0)+VLOOKUP(Type,Vehicles[],4+USC?,0)))-$A19)+IF(USC?,1,0.1)*(K$6/SQRT($A19))-_N/2*_Wn,1),0),""))</f>
        <v/>
      </c>
      <c r="L19" s="4" t="str">
        <f ca="1">IF($A19&lt;L$48,"",IFERROR(MAX(ROUND(_N*(((VLOOKUP(Type,Vehicles[],2+USC?,0))+$A19-SQRT($A19^2-VLOOKUP(Type,Vehicles[],8+USC?,0)))+_C)+(_N-1)*(SQRT($A19^2+VLOOKUP(Type,Vehicles[],4+USC?,0)*(2*VLOOKUP(Type,Vehicles[],6+USC?,0)+VLOOKUP(Type,Vehicles[],4+USC?,0)))-$A19)+IF(USC?,1,0.1)*(L$6/SQRT($A19))-_N/2*_Wn,1),0),""))</f>
        <v/>
      </c>
      <c r="M19" s="4" t="str">
        <f ca="1">IF($A19&lt;M$48,"",IFERROR(MAX(ROUND(_N*(((VLOOKUP(Type,Vehicles[],2+USC?,0))+$A19-SQRT($A19^2-VLOOKUP(Type,Vehicles[],8+USC?,0)))+_C)+(_N-1)*(SQRT($A19^2+VLOOKUP(Type,Vehicles[],4+USC?,0)*(2*VLOOKUP(Type,Vehicles[],6+USC?,0)+VLOOKUP(Type,Vehicles[],4+USC?,0)))-$A19)+IF(USC?,1,0.1)*(M$6/SQRT($A19))-_N/2*_Wn,1),0),""))</f>
        <v/>
      </c>
      <c r="N19" s="4" t="str">
        <f ca="1">IF($A19&lt;N$48,"",IFERROR(MAX(ROUND(_N*(((VLOOKUP(Type,Vehicles[],2+USC?,0))+$A19-SQRT($A19^2-VLOOKUP(Type,Vehicles[],8+USC?,0)))+_C)+(_N-1)*(SQRT($A19^2+VLOOKUP(Type,Vehicles[],4+USC?,0)*(2*VLOOKUP(Type,Vehicles[],6+USC?,0)+VLOOKUP(Type,Vehicles[],4+USC?,0)))-$A19)+IF(USC?,1,0.1)*(N$6/SQRT($A19))-_N/2*_Wn,1),0),""))</f>
        <v/>
      </c>
      <c r="O19" s="4" t="str">
        <f ca="1">IF($A19&lt;O$48,"",IFERROR(MAX(ROUND(_N*(((VLOOKUP(Type,Vehicles[],2+USC?,0))+$A19-SQRT($A19^2-VLOOKUP(Type,Vehicles[],8+USC?,0)))+_C)+(_N-1)*(SQRT($A19^2+VLOOKUP(Type,Vehicles[],4+USC?,0)*(2*VLOOKUP(Type,Vehicles[],6+USC?,0)+VLOOKUP(Type,Vehicles[],4+USC?,0)))-$A19)+IF(USC?,1,0.1)*(O$6/SQRT($A19))-_N/2*_Wn,1),0),""))</f>
        <v/>
      </c>
      <c r="P19" s="4" t="str">
        <f ca="1">IF($A19&lt;P$48,"",IFERROR(MAX(ROUND(_N*(((VLOOKUP(Type,Vehicles[],2+USC?,0))+$A19-SQRT($A19^2-VLOOKUP(Type,Vehicles[],8+USC?,0)))+_C)+(_N-1)*(SQRT($A19^2+VLOOKUP(Type,Vehicles[],4+USC?,0)*(2*VLOOKUP(Type,Vehicles[],6+USC?,0)+VLOOKUP(Type,Vehicles[],4+USC?,0)))-$A19)+IF(USC?,1,0.1)*(P$6/SQRT($A19))-_N/2*_Wn,1),0),""))</f>
        <v/>
      </c>
    </row>
    <row r="20" spans="1:16" x14ac:dyDescent="0.2">
      <c r="A20" s="22">
        <f ca="1">IFERROR(INDEX(Radius.List[Radius],ROW(A20)-ROW(A$6)-1+IF(LEN(Max.Radius)&gt;0,MATCH(Max.Radius,Radius.List[Radius],0)-1,IFERROR(MATCH(IF(USC?,1.6,0.5),Radius.List[Widening],1)-1,0))),"")</f>
        <v>250</v>
      </c>
      <c r="B20" s="4">
        <f ca="1">IF($A20&lt;B$48,"",IFERROR(MAX(ROUND(_N*(((VLOOKUP(Type,Vehicles[],2+USC?,0))+$A20-SQRT($A20^2-VLOOKUP(Type,Vehicles[],8+USC?,0)))+_C)+(_N-1)*(SQRT($A20^2+VLOOKUP(Type,Vehicles[],4+USC?,0)*(2*VLOOKUP(Type,Vehicles[],6+USC?,0)+VLOOKUP(Type,Vehicles[],4+USC?,0)))-$A20)+IF(USC?,1,0.1)*(B$6/SQRT($A20))-_N/2*_Wn,1),0),""))</f>
        <v>3</v>
      </c>
      <c r="C20" s="4">
        <f ca="1">IF($A20&lt;C$48,"",IFERROR(MAX(ROUND(_N*(((VLOOKUP(Type,Vehicles[],2+USC?,0))+$A20-SQRT($A20^2-VLOOKUP(Type,Vehicles[],8+USC?,0)))+_C)+(_N-1)*(SQRT($A20^2+VLOOKUP(Type,Vehicles[],4+USC?,0)*(2*VLOOKUP(Type,Vehicles[],6+USC?,0)+VLOOKUP(Type,Vehicles[],4+USC?,0)))-$A20)+IF(USC?,1,0.1)*(C$6/SQRT($A20))-_N/2*_Wn,1),0),""))</f>
        <v>3.4</v>
      </c>
      <c r="D20" s="4">
        <f ca="1">IF($A20&lt;D$48,"",IFERROR(MAX(ROUND(_N*(((VLOOKUP(Type,Vehicles[],2+USC?,0))+$A20-SQRT($A20^2-VLOOKUP(Type,Vehicles[],8+USC?,0)))+_C)+(_N-1)*(SQRT($A20^2+VLOOKUP(Type,Vehicles[],4+USC?,0)*(2*VLOOKUP(Type,Vehicles[],6+USC?,0)+VLOOKUP(Type,Vehicles[],4+USC?,0)))-$A20)+IF(USC?,1,0.1)*(D$6/SQRT($A20))-_N/2*_Wn,1),0),""))</f>
        <v>3.7</v>
      </c>
      <c r="E20" s="4">
        <f ca="1">IF($A20&lt;E$48,"",IFERROR(MAX(ROUND(_N*(((VLOOKUP(Type,Vehicles[],2+USC?,0))+$A20-SQRT($A20^2-VLOOKUP(Type,Vehicles[],8+USC?,0)))+_C)+(_N-1)*(SQRT($A20^2+VLOOKUP(Type,Vehicles[],4+USC?,0)*(2*VLOOKUP(Type,Vehicles[],6+USC?,0)+VLOOKUP(Type,Vehicles[],4+USC?,0)))-$A20)+IF(USC?,1,0.1)*(E$6/SQRT($A20))-_N/2*_Wn,1),0),""))</f>
        <v>4</v>
      </c>
      <c r="F20" s="4">
        <f ca="1">IF($A20&lt;F$48,"",IFERROR(MAX(ROUND(_N*(((VLOOKUP(Type,Vehicles[],2+USC?,0))+$A20-SQRT($A20^2-VLOOKUP(Type,Vehicles[],8+USC?,0)))+_C)+(_N-1)*(SQRT($A20^2+VLOOKUP(Type,Vehicles[],4+USC?,0)*(2*VLOOKUP(Type,Vehicles[],6+USC?,0)+VLOOKUP(Type,Vehicles[],4+USC?,0)))-$A20)+IF(USC?,1,0.1)*(F$6/SQRT($A20))-_N/2*_Wn,1),0),""))</f>
        <v>4.3</v>
      </c>
      <c r="G20" s="4" t="str">
        <f ca="1">IF($A20&lt;G$48,"",IFERROR(MAX(ROUND(_N*(((VLOOKUP(Type,Vehicles[],2+USC?,0))+$A20-SQRT($A20^2-VLOOKUP(Type,Vehicles[],8+USC?,0)))+_C)+(_N-1)*(SQRT($A20^2+VLOOKUP(Type,Vehicles[],4+USC?,0)*(2*VLOOKUP(Type,Vehicles[],6+USC?,0)+VLOOKUP(Type,Vehicles[],4+USC?,0)))-$A20)+IF(USC?,1,0.1)*(G$6/SQRT($A20))-_N/2*_Wn,1),0),""))</f>
        <v/>
      </c>
      <c r="H20" s="4" t="str">
        <f ca="1">IF($A20&lt;H$48,"",IFERROR(MAX(ROUND(_N*(((VLOOKUP(Type,Vehicles[],2+USC?,0))+$A20-SQRT($A20^2-VLOOKUP(Type,Vehicles[],8+USC?,0)))+_C)+(_N-1)*(SQRT($A20^2+VLOOKUP(Type,Vehicles[],4+USC?,0)*(2*VLOOKUP(Type,Vehicles[],6+USC?,0)+VLOOKUP(Type,Vehicles[],4+USC?,0)))-$A20)+IF(USC?,1,0.1)*(H$6/SQRT($A20))-_N/2*_Wn,1),0),""))</f>
        <v/>
      </c>
      <c r="I20" s="4" t="str">
        <f ca="1">IF($A20&lt;I$48,"",IFERROR(MAX(ROUND(_N*(((VLOOKUP(Type,Vehicles[],2+USC?,0))+$A20-SQRT($A20^2-VLOOKUP(Type,Vehicles[],8+USC?,0)))+_C)+(_N-1)*(SQRT($A20^2+VLOOKUP(Type,Vehicles[],4+USC?,0)*(2*VLOOKUP(Type,Vehicles[],6+USC?,0)+VLOOKUP(Type,Vehicles[],4+USC?,0)))-$A20)+IF(USC?,1,0.1)*(I$6/SQRT($A20))-_N/2*_Wn,1),0),""))</f>
        <v/>
      </c>
      <c r="J20" s="4" t="str">
        <f ca="1">IF($A20&lt;J$48,"",IFERROR(MAX(ROUND(_N*(((VLOOKUP(Type,Vehicles[],2+USC?,0))+$A20-SQRT($A20^2-VLOOKUP(Type,Vehicles[],8+USC?,0)))+_C)+(_N-1)*(SQRT($A20^2+VLOOKUP(Type,Vehicles[],4+USC?,0)*(2*VLOOKUP(Type,Vehicles[],6+USC?,0)+VLOOKUP(Type,Vehicles[],4+USC?,0)))-$A20)+IF(USC?,1,0.1)*(J$6/SQRT($A20))-_N/2*_Wn,1),0),""))</f>
        <v/>
      </c>
      <c r="K20" s="4" t="str">
        <f ca="1">IF($A20&lt;K$48,"",IFERROR(MAX(ROUND(_N*(((VLOOKUP(Type,Vehicles[],2+USC?,0))+$A20-SQRT($A20^2-VLOOKUP(Type,Vehicles[],8+USC?,0)))+_C)+(_N-1)*(SQRT($A20^2+VLOOKUP(Type,Vehicles[],4+USC?,0)*(2*VLOOKUP(Type,Vehicles[],6+USC?,0)+VLOOKUP(Type,Vehicles[],4+USC?,0)))-$A20)+IF(USC?,1,0.1)*(K$6/SQRT($A20))-_N/2*_Wn,1),0),""))</f>
        <v/>
      </c>
      <c r="L20" s="4" t="str">
        <f ca="1">IF($A20&lt;L$48,"",IFERROR(MAX(ROUND(_N*(((VLOOKUP(Type,Vehicles[],2+USC?,0))+$A20-SQRT($A20^2-VLOOKUP(Type,Vehicles[],8+USC?,0)))+_C)+(_N-1)*(SQRT($A20^2+VLOOKUP(Type,Vehicles[],4+USC?,0)*(2*VLOOKUP(Type,Vehicles[],6+USC?,0)+VLOOKUP(Type,Vehicles[],4+USC?,0)))-$A20)+IF(USC?,1,0.1)*(L$6/SQRT($A20))-_N/2*_Wn,1),0),""))</f>
        <v/>
      </c>
      <c r="M20" s="4" t="str">
        <f ca="1">IF($A20&lt;M$48,"",IFERROR(MAX(ROUND(_N*(((VLOOKUP(Type,Vehicles[],2+USC?,0))+$A20-SQRT($A20^2-VLOOKUP(Type,Vehicles[],8+USC?,0)))+_C)+(_N-1)*(SQRT($A20^2+VLOOKUP(Type,Vehicles[],4+USC?,0)*(2*VLOOKUP(Type,Vehicles[],6+USC?,0)+VLOOKUP(Type,Vehicles[],4+USC?,0)))-$A20)+IF(USC?,1,0.1)*(M$6/SQRT($A20))-_N/2*_Wn,1),0),""))</f>
        <v/>
      </c>
      <c r="N20" s="4" t="str">
        <f ca="1">IF($A20&lt;N$48,"",IFERROR(MAX(ROUND(_N*(((VLOOKUP(Type,Vehicles[],2+USC?,0))+$A20-SQRT($A20^2-VLOOKUP(Type,Vehicles[],8+USC?,0)))+_C)+(_N-1)*(SQRT($A20^2+VLOOKUP(Type,Vehicles[],4+USC?,0)*(2*VLOOKUP(Type,Vehicles[],6+USC?,0)+VLOOKUP(Type,Vehicles[],4+USC?,0)))-$A20)+IF(USC?,1,0.1)*(N$6/SQRT($A20))-_N/2*_Wn,1),0),""))</f>
        <v/>
      </c>
      <c r="O20" s="4" t="str">
        <f ca="1">IF($A20&lt;O$48,"",IFERROR(MAX(ROUND(_N*(((VLOOKUP(Type,Vehicles[],2+USC?,0))+$A20-SQRT($A20^2-VLOOKUP(Type,Vehicles[],8+USC?,0)))+_C)+(_N-1)*(SQRT($A20^2+VLOOKUP(Type,Vehicles[],4+USC?,0)*(2*VLOOKUP(Type,Vehicles[],6+USC?,0)+VLOOKUP(Type,Vehicles[],4+USC?,0)))-$A20)+IF(USC?,1,0.1)*(O$6/SQRT($A20))-_N/2*_Wn,1),0),""))</f>
        <v/>
      </c>
      <c r="P20" s="4" t="str">
        <f ca="1">IF($A20&lt;P$48,"",IFERROR(MAX(ROUND(_N*(((VLOOKUP(Type,Vehicles[],2+USC?,0))+$A20-SQRT($A20^2-VLOOKUP(Type,Vehicles[],8+USC?,0)))+_C)+(_N-1)*(SQRT($A20^2+VLOOKUP(Type,Vehicles[],4+USC?,0)*(2*VLOOKUP(Type,Vehicles[],6+USC?,0)+VLOOKUP(Type,Vehicles[],4+USC?,0)))-$A20)+IF(USC?,1,0.1)*(P$6/SQRT($A20))-_N/2*_Wn,1),0),""))</f>
        <v/>
      </c>
    </row>
    <row r="21" spans="1:16" x14ac:dyDescent="0.2">
      <c r="A21" s="22">
        <f ca="1">IFERROR(INDEX(Radius.List[Radius],ROW(A21)-ROW(A$6)-1+IF(LEN(Max.Radius)&gt;0,MATCH(Max.Radius,Radius.List[Radius],0)-1,IFERROR(MATCH(IF(USC?,1.6,0.5),Radius.List[Widening],1)-1,0))),"")</f>
        <v>200</v>
      </c>
      <c r="B21" s="4">
        <f ca="1">IF($A21&lt;B$48,"",IFERROR(MAX(ROUND(_N*(((VLOOKUP(Type,Vehicles[],2+USC?,0))+$A21-SQRT($A21^2-VLOOKUP(Type,Vehicles[],8+USC?,0)))+_C)+(_N-1)*(SQRT($A21^2+VLOOKUP(Type,Vehicles[],4+USC?,0)*(2*VLOOKUP(Type,Vehicles[],6+USC?,0)+VLOOKUP(Type,Vehicles[],4+USC?,0)))-$A21)+IF(USC?,1,0.1)*(B$6/SQRT($A21))-_N/2*_Wn,1),0),""))</f>
        <v>4</v>
      </c>
      <c r="C21" s="4">
        <f ca="1">IF($A21&lt;C$48,"",IFERROR(MAX(ROUND(_N*(((VLOOKUP(Type,Vehicles[],2+USC?,0))+$A21-SQRT($A21^2-VLOOKUP(Type,Vehicles[],8+USC?,0)))+_C)+(_N-1)*(SQRT($A21^2+VLOOKUP(Type,Vehicles[],4+USC?,0)*(2*VLOOKUP(Type,Vehicles[],6+USC?,0)+VLOOKUP(Type,Vehicles[],4+USC?,0)))-$A21)+IF(USC?,1,0.1)*(C$6/SQRT($A21))-_N/2*_Wn,1),0),""))</f>
        <v>4.3</v>
      </c>
      <c r="D21" s="4">
        <f ca="1">IF($A21&lt;D$48,"",IFERROR(MAX(ROUND(_N*(((VLOOKUP(Type,Vehicles[],2+USC?,0))+$A21-SQRT($A21^2-VLOOKUP(Type,Vehicles[],8+USC?,0)))+_C)+(_N-1)*(SQRT($A21^2+VLOOKUP(Type,Vehicles[],4+USC?,0)*(2*VLOOKUP(Type,Vehicles[],6+USC?,0)+VLOOKUP(Type,Vehicles[],4+USC?,0)))-$A21)+IF(USC?,1,0.1)*(D$6/SQRT($A21))-_N/2*_Wn,1),0),""))</f>
        <v>4.7</v>
      </c>
      <c r="E21" s="4">
        <f ca="1">IF($A21&lt;E$48,"",IFERROR(MAX(ROUND(_N*(((VLOOKUP(Type,Vehicles[],2+USC?,0))+$A21-SQRT($A21^2-VLOOKUP(Type,Vehicles[],8+USC?,0)))+_C)+(_N-1)*(SQRT($A21^2+VLOOKUP(Type,Vehicles[],4+USC?,0)*(2*VLOOKUP(Type,Vehicles[],6+USC?,0)+VLOOKUP(Type,Vehicles[],4+USC?,0)))-$A21)+IF(USC?,1,0.1)*(E$6/SQRT($A21))-_N/2*_Wn,1),0),""))</f>
        <v>5</v>
      </c>
      <c r="F21" s="4">
        <f ca="1">IF($A21&lt;F$48,"",IFERROR(MAX(ROUND(_N*(((VLOOKUP(Type,Vehicles[],2+USC?,0))+$A21-SQRT($A21^2-VLOOKUP(Type,Vehicles[],8+USC?,0)))+_C)+(_N-1)*(SQRT($A21^2+VLOOKUP(Type,Vehicles[],4+USC?,0)*(2*VLOOKUP(Type,Vehicles[],6+USC?,0)+VLOOKUP(Type,Vehicles[],4+USC?,0)))-$A21)+IF(USC?,1,0.1)*(F$6/SQRT($A21))-_N/2*_Wn,1),0),""))</f>
        <v>5.4</v>
      </c>
      <c r="G21" s="4" t="str">
        <f ca="1">IF($A21&lt;G$48,"",IFERROR(MAX(ROUND(_N*(((VLOOKUP(Type,Vehicles[],2+USC?,0))+$A21-SQRT($A21^2-VLOOKUP(Type,Vehicles[],8+USC?,0)))+_C)+(_N-1)*(SQRT($A21^2+VLOOKUP(Type,Vehicles[],4+USC?,0)*(2*VLOOKUP(Type,Vehicles[],6+USC?,0)+VLOOKUP(Type,Vehicles[],4+USC?,0)))-$A21)+IF(USC?,1,0.1)*(G$6/SQRT($A21))-_N/2*_Wn,1),0),""))</f>
        <v/>
      </c>
      <c r="H21" s="4" t="str">
        <f ca="1">IF($A21&lt;H$48,"",IFERROR(MAX(ROUND(_N*(((VLOOKUP(Type,Vehicles[],2+USC?,0))+$A21-SQRT($A21^2-VLOOKUP(Type,Vehicles[],8+USC?,0)))+_C)+(_N-1)*(SQRT($A21^2+VLOOKUP(Type,Vehicles[],4+USC?,0)*(2*VLOOKUP(Type,Vehicles[],6+USC?,0)+VLOOKUP(Type,Vehicles[],4+USC?,0)))-$A21)+IF(USC?,1,0.1)*(H$6/SQRT($A21))-_N/2*_Wn,1),0),""))</f>
        <v/>
      </c>
      <c r="I21" s="4" t="str">
        <f ca="1">IF($A21&lt;I$48,"",IFERROR(MAX(ROUND(_N*(((VLOOKUP(Type,Vehicles[],2+USC?,0))+$A21-SQRT($A21^2-VLOOKUP(Type,Vehicles[],8+USC?,0)))+_C)+(_N-1)*(SQRT($A21^2+VLOOKUP(Type,Vehicles[],4+USC?,0)*(2*VLOOKUP(Type,Vehicles[],6+USC?,0)+VLOOKUP(Type,Vehicles[],4+USC?,0)))-$A21)+IF(USC?,1,0.1)*(I$6/SQRT($A21))-_N/2*_Wn,1),0),""))</f>
        <v/>
      </c>
      <c r="J21" s="4" t="str">
        <f ca="1">IF($A21&lt;J$48,"",IFERROR(MAX(ROUND(_N*(((VLOOKUP(Type,Vehicles[],2+USC?,0))+$A21-SQRT($A21^2-VLOOKUP(Type,Vehicles[],8+USC?,0)))+_C)+(_N-1)*(SQRT($A21^2+VLOOKUP(Type,Vehicles[],4+USC?,0)*(2*VLOOKUP(Type,Vehicles[],6+USC?,0)+VLOOKUP(Type,Vehicles[],4+USC?,0)))-$A21)+IF(USC?,1,0.1)*(J$6/SQRT($A21))-_N/2*_Wn,1),0),""))</f>
        <v/>
      </c>
      <c r="K21" s="4" t="str">
        <f ca="1">IF($A21&lt;K$48,"",IFERROR(MAX(ROUND(_N*(((VLOOKUP(Type,Vehicles[],2+USC?,0))+$A21-SQRT($A21^2-VLOOKUP(Type,Vehicles[],8+USC?,0)))+_C)+(_N-1)*(SQRT($A21^2+VLOOKUP(Type,Vehicles[],4+USC?,0)*(2*VLOOKUP(Type,Vehicles[],6+USC?,0)+VLOOKUP(Type,Vehicles[],4+USC?,0)))-$A21)+IF(USC?,1,0.1)*(K$6/SQRT($A21))-_N/2*_Wn,1),0),""))</f>
        <v/>
      </c>
      <c r="L21" s="4" t="str">
        <f ca="1">IF($A21&lt;L$48,"",IFERROR(MAX(ROUND(_N*(((VLOOKUP(Type,Vehicles[],2+USC?,0))+$A21-SQRT($A21^2-VLOOKUP(Type,Vehicles[],8+USC?,0)))+_C)+(_N-1)*(SQRT($A21^2+VLOOKUP(Type,Vehicles[],4+USC?,0)*(2*VLOOKUP(Type,Vehicles[],6+USC?,0)+VLOOKUP(Type,Vehicles[],4+USC?,0)))-$A21)+IF(USC?,1,0.1)*(L$6/SQRT($A21))-_N/2*_Wn,1),0),""))</f>
        <v/>
      </c>
      <c r="M21" s="4" t="str">
        <f ca="1">IF($A21&lt;M$48,"",IFERROR(MAX(ROUND(_N*(((VLOOKUP(Type,Vehicles[],2+USC?,0))+$A21-SQRT($A21^2-VLOOKUP(Type,Vehicles[],8+USC?,0)))+_C)+(_N-1)*(SQRT($A21^2+VLOOKUP(Type,Vehicles[],4+USC?,0)*(2*VLOOKUP(Type,Vehicles[],6+USC?,0)+VLOOKUP(Type,Vehicles[],4+USC?,0)))-$A21)+IF(USC?,1,0.1)*(M$6/SQRT($A21))-_N/2*_Wn,1),0),""))</f>
        <v/>
      </c>
      <c r="N21" s="4" t="str">
        <f ca="1">IF($A21&lt;N$48,"",IFERROR(MAX(ROUND(_N*(((VLOOKUP(Type,Vehicles[],2+USC?,0))+$A21-SQRT($A21^2-VLOOKUP(Type,Vehicles[],8+USC?,0)))+_C)+(_N-1)*(SQRT($A21^2+VLOOKUP(Type,Vehicles[],4+USC?,0)*(2*VLOOKUP(Type,Vehicles[],6+USC?,0)+VLOOKUP(Type,Vehicles[],4+USC?,0)))-$A21)+IF(USC?,1,0.1)*(N$6/SQRT($A21))-_N/2*_Wn,1),0),""))</f>
        <v/>
      </c>
      <c r="O21" s="4" t="str">
        <f ca="1">IF($A21&lt;O$48,"",IFERROR(MAX(ROUND(_N*(((VLOOKUP(Type,Vehicles[],2+USC?,0))+$A21-SQRT($A21^2-VLOOKUP(Type,Vehicles[],8+USC?,0)))+_C)+(_N-1)*(SQRT($A21^2+VLOOKUP(Type,Vehicles[],4+USC?,0)*(2*VLOOKUP(Type,Vehicles[],6+USC?,0)+VLOOKUP(Type,Vehicles[],4+USC?,0)))-$A21)+IF(USC?,1,0.1)*(O$6/SQRT($A21))-_N/2*_Wn,1),0),""))</f>
        <v/>
      </c>
      <c r="P21" s="4" t="str">
        <f ca="1">IF($A21&lt;P$48,"",IFERROR(MAX(ROUND(_N*(((VLOOKUP(Type,Vehicles[],2+USC?,0))+$A21-SQRT($A21^2-VLOOKUP(Type,Vehicles[],8+USC?,0)))+_C)+(_N-1)*(SQRT($A21^2+VLOOKUP(Type,Vehicles[],4+USC?,0)*(2*VLOOKUP(Type,Vehicles[],6+USC?,0)+VLOOKUP(Type,Vehicles[],4+USC?,0)))-$A21)+IF(USC?,1,0.1)*(P$6/SQRT($A21))-_N/2*_Wn,1),0),""))</f>
        <v/>
      </c>
    </row>
    <row r="22" spans="1:16" x14ac:dyDescent="0.2">
      <c r="A22" s="22">
        <f ca="1">IFERROR(INDEX(Radius.List[Radius],ROW(A22)-ROW(A$6)-1+IF(LEN(Max.Radius)&gt;0,MATCH(Max.Radius,Radius.List[Radius],0)-1,IFERROR(MATCH(IF(USC?,1.6,0.5),Radius.List[Widening],1)-1,0))),"")</f>
        <v>175</v>
      </c>
      <c r="B22" s="4">
        <f ca="1">IF($A22&lt;B$48,"",IFERROR(MAX(ROUND(_N*(((VLOOKUP(Type,Vehicles[],2+USC?,0))+$A22-SQRT($A22^2-VLOOKUP(Type,Vehicles[],8+USC?,0)))+_C)+(_N-1)*(SQRT($A22^2+VLOOKUP(Type,Vehicles[],4+USC?,0)*(2*VLOOKUP(Type,Vehicles[],6+USC?,0)+VLOOKUP(Type,Vehicles[],4+USC?,0)))-$A22)+IF(USC?,1,0.1)*(B$6/SQRT($A22))-_N/2*_Wn,1),0),""))</f>
        <v>4.5999999999999996</v>
      </c>
      <c r="C22" s="4">
        <f ca="1">IF($A22&lt;C$48,"",IFERROR(MAX(ROUND(_N*(((VLOOKUP(Type,Vehicles[],2+USC?,0))+$A22-SQRT($A22^2-VLOOKUP(Type,Vehicles[],8+USC?,0)))+_C)+(_N-1)*(SQRT($A22^2+VLOOKUP(Type,Vehicles[],4+USC?,0)*(2*VLOOKUP(Type,Vehicles[],6+USC?,0)+VLOOKUP(Type,Vehicles[],4+USC?,0)))-$A22)+IF(USC?,1,0.1)*(C$6/SQRT($A22))-_N/2*_Wn,1),0),""))</f>
        <v>5</v>
      </c>
      <c r="D22" s="4">
        <f ca="1">IF($A22&lt;D$48,"",IFERROR(MAX(ROUND(_N*(((VLOOKUP(Type,Vehicles[],2+USC?,0))+$A22-SQRT($A22^2-VLOOKUP(Type,Vehicles[],8+USC?,0)))+_C)+(_N-1)*(SQRT($A22^2+VLOOKUP(Type,Vehicles[],4+USC?,0)*(2*VLOOKUP(Type,Vehicles[],6+USC?,0)+VLOOKUP(Type,Vehicles[],4+USC?,0)))-$A22)+IF(USC?,1,0.1)*(D$6/SQRT($A22))-_N/2*_Wn,1),0),""))</f>
        <v>5.4</v>
      </c>
      <c r="E22" s="4">
        <f ca="1">IF($A22&lt;E$48,"",IFERROR(MAX(ROUND(_N*(((VLOOKUP(Type,Vehicles[],2+USC?,0))+$A22-SQRT($A22^2-VLOOKUP(Type,Vehicles[],8+USC?,0)))+_C)+(_N-1)*(SQRT($A22^2+VLOOKUP(Type,Vehicles[],4+USC?,0)*(2*VLOOKUP(Type,Vehicles[],6+USC?,0)+VLOOKUP(Type,Vehicles[],4+USC?,0)))-$A22)+IF(USC?,1,0.1)*(E$6/SQRT($A22))-_N/2*_Wn,1),0),""))</f>
        <v>5.8</v>
      </c>
      <c r="F22" s="4" t="str">
        <f ca="1">IF($A22&lt;F$48,"",IFERROR(MAX(ROUND(_N*(((VLOOKUP(Type,Vehicles[],2+USC?,0))+$A22-SQRT($A22^2-VLOOKUP(Type,Vehicles[],8+USC?,0)))+_C)+(_N-1)*(SQRT($A22^2+VLOOKUP(Type,Vehicles[],4+USC?,0)*(2*VLOOKUP(Type,Vehicles[],6+USC?,0)+VLOOKUP(Type,Vehicles[],4+USC?,0)))-$A22)+IF(USC?,1,0.1)*(F$6/SQRT($A22))-_N/2*_Wn,1),0),""))</f>
        <v/>
      </c>
      <c r="G22" s="4" t="str">
        <f ca="1">IF($A22&lt;G$48,"",IFERROR(MAX(ROUND(_N*(((VLOOKUP(Type,Vehicles[],2+USC?,0))+$A22-SQRT($A22^2-VLOOKUP(Type,Vehicles[],8+USC?,0)))+_C)+(_N-1)*(SQRT($A22^2+VLOOKUP(Type,Vehicles[],4+USC?,0)*(2*VLOOKUP(Type,Vehicles[],6+USC?,0)+VLOOKUP(Type,Vehicles[],4+USC?,0)))-$A22)+IF(USC?,1,0.1)*(G$6/SQRT($A22))-_N/2*_Wn,1),0),""))</f>
        <v/>
      </c>
      <c r="H22" s="4" t="str">
        <f ca="1">IF($A22&lt;H$48,"",IFERROR(MAX(ROUND(_N*(((VLOOKUP(Type,Vehicles[],2+USC?,0))+$A22-SQRT($A22^2-VLOOKUP(Type,Vehicles[],8+USC?,0)))+_C)+(_N-1)*(SQRT($A22^2+VLOOKUP(Type,Vehicles[],4+USC?,0)*(2*VLOOKUP(Type,Vehicles[],6+USC?,0)+VLOOKUP(Type,Vehicles[],4+USC?,0)))-$A22)+IF(USC?,1,0.1)*(H$6/SQRT($A22))-_N/2*_Wn,1),0),""))</f>
        <v/>
      </c>
      <c r="I22" s="4" t="str">
        <f ca="1">IF($A22&lt;I$48,"",IFERROR(MAX(ROUND(_N*(((VLOOKUP(Type,Vehicles[],2+USC?,0))+$A22-SQRT($A22^2-VLOOKUP(Type,Vehicles[],8+USC?,0)))+_C)+(_N-1)*(SQRT($A22^2+VLOOKUP(Type,Vehicles[],4+USC?,0)*(2*VLOOKUP(Type,Vehicles[],6+USC?,0)+VLOOKUP(Type,Vehicles[],4+USC?,0)))-$A22)+IF(USC?,1,0.1)*(I$6/SQRT($A22))-_N/2*_Wn,1),0),""))</f>
        <v/>
      </c>
      <c r="J22" s="4" t="str">
        <f ca="1">IF($A22&lt;J$48,"",IFERROR(MAX(ROUND(_N*(((VLOOKUP(Type,Vehicles[],2+USC?,0))+$A22-SQRT($A22^2-VLOOKUP(Type,Vehicles[],8+USC?,0)))+_C)+(_N-1)*(SQRT($A22^2+VLOOKUP(Type,Vehicles[],4+USC?,0)*(2*VLOOKUP(Type,Vehicles[],6+USC?,0)+VLOOKUP(Type,Vehicles[],4+USC?,0)))-$A22)+IF(USC?,1,0.1)*(J$6/SQRT($A22))-_N/2*_Wn,1),0),""))</f>
        <v/>
      </c>
      <c r="K22" s="4" t="str">
        <f ca="1">IF($A22&lt;K$48,"",IFERROR(MAX(ROUND(_N*(((VLOOKUP(Type,Vehicles[],2+USC?,0))+$A22-SQRT($A22^2-VLOOKUP(Type,Vehicles[],8+USC?,0)))+_C)+(_N-1)*(SQRT($A22^2+VLOOKUP(Type,Vehicles[],4+USC?,0)*(2*VLOOKUP(Type,Vehicles[],6+USC?,0)+VLOOKUP(Type,Vehicles[],4+USC?,0)))-$A22)+IF(USC?,1,0.1)*(K$6/SQRT($A22))-_N/2*_Wn,1),0),""))</f>
        <v/>
      </c>
      <c r="L22" s="4" t="str">
        <f ca="1">IF($A22&lt;L$48,"",IFERROR(MAX(ROUND(_N*(((VLOOKUP(Type,Vehicles[],2+USC?,0))+$A22-SQRT($A22^2-VLOOKUP(Type,Vehicles[],8+USC?,0)))+_C)+(_N-1)*(SQRT($A22^2+VLOOKUP(Type,Vehicles[],4+USC?,0)*(2*VLOOKUP(Type,Vehicles[],6+USC?,0)+VLOOKUP(Type,Vehicles[],4+USC?,0)))-$A22)+IF(USC?,1,0.1)*(L$6/SQRT($A22))-_N/2*_Wn,1),0),""))</f>
        <v/>
      </c>
      <c r="M22" s="4" t="str">
        <f ca="1">IF($A22&lt;M$48,"",IFERROR(MAX(ROUND(_N*(((VLOOKUP(Type,Vehicles[],2+USC?,0))+$A22-SQRT($A22^2-VLOOKUP(Type,Vehicles[],8+USC?,0)))+_C)+(_N-1)*(SQRT($A22^2+VLOOKUP(Type,Vehicles[],4+USC?,0)*(2*VLOOKUP(Type,Vehicles[],6+USC?,0)+VLOOKUP(Type,Vehicles[],4+USC?,0)))-$A22)+IF(USC?,1,0.1)*(M$6/SQRT($A22))-_N/2*_Wn,1),0),""))</f>
        <v/>
      </c>
      <c r="N22" s="4" t="str">
        <f ca="1">IF($A22&lt;N$48,"",IFERROR(MAX(ROUND(_N*(((VLOOKUP(Type,Vehicles[],2+USC?,0))+$A22-SQRT($A22^2-VLOOKUP(Type,Vehicles[],8+USC?,0)))+_C)+(_N-1)*(SQRT($A22^2+VLOOKUP(Type,Vehicles[],4+USC?,0)*(2*VLOOKUP(Type,Vehicles[],6+USC?,0)+VLOOKUP(Type,Vehicles[],4+USC?,0)))-$A22)+IF(USC?,1,0.1)*(N$6/SQRT($A22))-_N/2*_Wn,1),0),""))</f>
        <v/>
      </c>
      <c r="O22" s="4" t="str">
        <f ca="1">IF($A22&lt;O$48,"",IFERROR(MAX(ROUND(_N*(((VLOOKUP(Type,Vehicles[],2+USC?,0))+$A22-SQRT($A22^2-VLOOKUP(Type,Vehicles[],8+USC?,0)))+_C)+(_N-1)*(SQRT($A22^2+VLOOKUP(Type,Vehicles[],4+USC?,0)*(2*VLOOKUP(Type,Vehicles[],6+USC?,0)+VLOOKUP(Type,Vehicles[],4+USC?,0)))-$A22)+IF(USC?,1,0.1)*(O$6/SQRT($A22))-_N/2*_Wn,1),0),""))</f>
        <v/>
      </c>
      <c r="P22" s="4" t="str">
        <f ca="1">IF($A22&lt;P$48,"",IFERROR(MAX(ROUND(_N*(((VLOOKUP(Type,Vehicles[],2+USC?,0))+$A22-SQRT($A22^2-VLOOKUP(Type,Vehicles[],8+USC?,0)))+_C)+(_N-1)*(SQRT($A22^2+VLOOKUP(Type,Vehicles[],4+USC?,0)*(2*VLOOKUP(Type,Vehicles[],6+USC?,0)+VLOOKUP(Type,Vehicles[],4+USC?,0)))-$A22)+IF(USC?,1,0.1)*(P$6/SQRT($A22))-_N/2*_Wn,1),0),""))</f>
        <v/>
      </c>
    </row>
    <row r="23" spans="1:16" x14ac:dyDescent="0.2">
      <c r="A23" s="22">
        <f ca="1">IFERROR(INDEX(Radius.List[Radius],ROW(A23)-ROW(A$6)-1+IF(LEN(Max.Radius)&gt;0,MATCH(Max.Radius,Radius.List[Radius],0)-1,IFERROR(MATCH(IF(USC?,1.6,0.5),Radius.List[Widening],1)-1,0))),"")</f>
        <v>150</v>
      </c>
      <c r="B23" s="4">
        <f ca="1">IF($A23&lt;B$48,"",IFERROR(MAX(ROUND(_N*(((VLOOKUP(Type,Vehicles[],2+USC?,0))+$A23-SQRT($A23^2-VLOOKUP(Type,Vehicles[],8+USC?,0)))+_C)+(_N-1)*(SQRT($A23^2+VLOOKUP(Type,Vehicles[],4+USC?,0)*(2*VLOOKUP(Type,Vehicles[],6+USC?,0)+VLOOKUP(Type,Vehicles[],4+USC?,0)))-$A23)+IF(USC?,1,0.1)*(B$6/SQRT($A23))-_N/2*_Wn,1),0),""))</f>
        <v>5.5</v>
      </c>
      <c r="C23" s="4">
        <f ca="1">IF($A23&lt;C$48,"",IFERROR(MAX(ROUND(_N*(((VLOOKUP(Type,Vehicles[],2+USC?,0))+$A23-SQRT($A23^2-VLOOKUP(Type,Vehicles[],8+USC?,0)))+_C)+(_N-1)*(SQRT($A23^2+VLOOKUP(Type,Vehicles[],4+USC?,0)*(2*VLOOKUP(Type,Vehicles[],6+USC?,0)+VLOOKUP(Type,Vehicles[],4+USC?,0)))-$A23)+IF(USC?,1,0.1)*(C$6/SQRT($A23))-_N/2*_Wn,1),0),""))</f>
        <v>5.9</v>
      </c>
      <c r="D23" s="4">
        <f ca="1">IF($A23&lt;D$48,"",IFERROR(MAX(ROUND(_N*(((VLOOKUP(Type,Vehicles[],2+USC?,0))+$A23-SQRT($A23^2-VLOOKUP(Type,Vehicles[],8+USC?,0)))+_C)+(_N-1)*(SQRT($A23^2+VLOOKUP(Type,Vehicles[],4+USC?,0)*(2*VLOOKUP(Type,Vehicles[],6+USC?,0)+VLOOKUP(Type,Vehicles[],4+USC?,0)))-$A23)+IF(USC?,1,0.1)*(D$6/SQRT($A23))-_N/2*_Wn,1),0),""))</f>
        <v>6.3</v>
      </c>
      <c r="E23" s="4">
        <f ca="1">IF($A23&lt;E$48,"",IFERROR(MAX(ROUND(_N*(((VLOOKUP(Type,Vehicles[],2+USC?,0))+$A23-SQRT($A23^2-VLOOKUP(Type,Vehicles[],8+USC?,0)))+_C)+(_N-1)*(SQRT($A23^2+VLOOKUP(Type,Vehicles[],4+USC?,0)*(2*VLOOKUP(Type,Vehicles[],6+USC?,0)+VLOOKUP(Type,Vehicles[],4+USC?,0)))-$A23)+IF(USC?,1,0.1)*(E$6/SQRT($A23))-_N/2*_Wn,1),0),""))</f>
        <v>6.7</v>
      </c>
      <c r="F23" s="4" t="str">
        <f ca="1">IF($A23&lt;F$48,"",IFERROR(MAX(ROUND(_N*(((VLOOKUP(Type,Vehicles[],2+USC?,0))+$A23-SQRT($A23^2-VLOOKUP(Type,Vehicles[],8+USC?,0)))+_C)+(_N-1)*(SQRT($A23^2+VLOOKUP(Type,Vehicles[],4+USC?,0)*(2*VLOOKUP(Type,Vehicles[],6+USC?,0)+VLOOKUP(Type,Vehicles[],4+USC?,0)))-$A23)+IF(USC?,1,0.1)*(F$6/SQRT($A23))-_N/2*_Wn,1),0),""))</f>
        <v/>
      </c>
      <c r="G23" s="4" t="str">
        <f ca="1">IF($A23&lt;G$48,"",IFERROR(MAX(ROUND(_N*(((VLOOKUP(Type,Vehicles[],2+USC?,0))+$A23-SQRT($A23^2-VLOOKUP(Type,Vehicles[],8+USC?,0)))+_C)+(_N-1)*(SQRT($A23^2+VLOOKUP(Type,Vehicles[],4+USC?,0)*(2*VLOOKUP(Type,Vehicles[],6+USC?,0)+VLOOKUP(Type,Vehicles[],4+USC?,0)))-$A23)+IF(USC?,1,0.1)*(G$6/SQRT($A23))-_N/2*_Wn,1),0),""))</f>
        <v/>
      </c>
      <c r="H23" s="4" t="str">
        <f ca="1">IF($A23&lt;H$48,"",IFERROR(MAX(ROUND(_N*(((VLOOKUP(Type,Vehicles[],2+USC?,0))+$A23-SQRT($A23^2-VLOOKUP(Type,Vehicles[],8+USC?,0)))+_C)+(_N-1)*(SQRT($A23^2+VLOOKUP(Type,Vehicles[],4+USC?,0)*(2*VLOOKUP(Type,Vehicles[],6+USC?,0)+VLOOKUP(Type,Vehicles[],4+USC?,0)))-$A23)+IF(USC?,1,0.1)*(H$6/SQRT($A23))-_N/2*_Wn,1),0),""))</f>
        <v/>
      </c>
      <c r="I23" s="4" t="str">
        <f ca="1">IF($A23&lt;I$48,"",IFERROR(MAX(ROUND(_N*(((VLOOKUP(Type,Vehicles[],2+USC?,0))+$A23-SQRT($A23^2-VLOOKUP(Type,Vehicles[],8+USC?,0)))+_C)+(_N-1)*(SQRT($A23^2+VLOOKUP(Type,Vehicles[],4+USC?,0)*(2*VLOOKUP(Type,Vehicles[],6+USC?,0)+VLOOKUP(Type,Vehicles[],4+USC?,0)))-$A23)+IF(USC?,1,0.1)*(I$6/SQRT($A23))-_N/2*_Wn,1),0),""))</f>
        <v/>
      </c>
      <c r="J23" s="4" t="str">
        <f ca="1">IF($A23&lt;J$48,"",IFERROR(MAX(ROUND(_N*(((VLOOKUP(Type,Vehicles[],2+USC?,0))+$A23-SQRT($A23^2-VLOOKUP(Type,Vehicles[],8+USC?,0)))+_C)+(_N-1)*(SQRT($A23^2+VLOOKUP(Type,Vehicles[],4+USC?,0)*(2*VLOOKUP(Type,Vehicles[],6+USC?,0)+VLOOKUP(Type,Vehicles[],4+USC?,0)))-$A23)+IF(USC?,1,0.1)*(J$6/SQRT($A23))-_N/2*_Wn,1),0),""))</f>
        <v/>
      </c>
      <c r="K23" s="4" t="str">
        <f ca="1">IF($A23&lt;K$48,"",IFERROR(MAX(ROUND(_N*(((VLOOKUP(Type,Vehicles[],2+USC?,0))+$A23-SQRT($A23^2-VLOOKUP(Type,Vehicles[],8+USC?,0)))+_C)+(_N-1)*(SQRT($A23^2+VLOOKUP(Type,Vehicles[],4+USC?,0)*(2*VLOOKUP(Type,Vehicles[],6+USC?,0)+VLOOKUP(Type,Vehicles[],4+USC?,0)))-$A23)+IF(USC?,1,0.1)*(K$6/SQRT($A23))-_N/2*_Wn,1),0),""))</f>
        <v/>
      </c>
      <c r="L23" s="4" t="str">
        <f ca="1">IF($A23&lt;L$48,"",IFERROR(MAX(ROUND(_N*(((VLOOKUP(Type,Vehicles[],2+USC?,0))+$A23-SQRT($A23^2-VLOOKUP(Type,Vehicles[],8+USC?,0)))+_C)+(_N-1)*(SQRT($A23^2+VLOOKUP(Type,Vehicles[],4+USC?,0)*(2*VLOOKUP(Type,Vehicles[],6+USC?,0)+VLOOKUP(Type,Vehicles[],4+USC?,0)))-$A23)+IF(USC?,1,0.1)*(L$6/SQRT($A23))-_N/2*_Wn,1),0),""))</f>
        <v/>
      </c>
      <c r="M23" s="4" t="str">
        <f ca="1">IF($A23&lt;M$48,"",IFERROR(MAX(ROUND(_N*(((VLOOKUP(Type,Vehicles[],2+USC?,0))+$A23-SQRT($A23^2-VLOOKUP(Type,Vehicles[],8+USC?,0)))+_C)+(_N-1)*(SQRT($A23^2+VLOOKUP(Type,Vehicles[],4+USC?,0)*(2*VLOOKUP(Type,Vehicles[],6+USC?,0)+VLOOKUP(Type,Vehicles[],4+USC?,0)))-$A23)+IF(USC?,1,0.1)*(M$6/SQRT($A23))-_N/2*_Wn,1),0),""))</f>
        <v/>
      </c>
      <c r="N23" s="4" t="str">
        <f ca="1">IF($A23&lt;N$48,"",IFERROR(MAX(ROUND(_N*(((VLOOKUP(Type,Vehicles[],2+USC?,0))+$A23-SQRT($A23^2-VLOOKUP(Type,Vehicles[],8+USC?,0)))+_C)+(_N-1)*(SQRT($A23^2+VLOOKUP(Type,Vehicles[],4+USC?,0)*(2*VLOOKUP(Type,Vehicles[],6+USC?,0)+VLOOKUP(Type,Vehicles[],4+USC?,0)))-$A23)+IF(USC?,1,0.1)*(N$6/SQRT($A23))-_N/2*_Wn,1),0),""))</f>
        <v/>
      </c>
      <c r="O23" s="4" t="str">
        <f ca="1">IF($A23&lt;O$48,"",IFERROR(MAX(ROUND(_N*(((VLOOKUP(Type,Vehicles[],2+USC?,0))+$A23-SQRT($A23^2-VLOOKUP(Type,Vehicles[],8+USC?,0)))+_C)+(_N-1)*(SQRT($A23^2+VLOOKUP(Type,Vehicles[],4+USC?,0)*(2*VLOOKUP(Type,Vehicles[],6+USC?,0)+VLOOKUP(Type,Vehicles[],4+USC?,0)))-$A23)+IF(USC?,1,0.1)*(O$6/SQRT($A23))-_N/2*_Wn,1),0),""))</f>
        <v/>
      </c>
      <c r="P23" s="4" t="str">
        <f ca="1">IF($A23&lt;P$48,"",IFERROR(MAX(ROUND(_N*(((VLOOKUP(Type,Vehicles[],2+USC?,0))+$A23-SQRT($A23^2-VLOOKUP(Type,Vehicles[],8+USC?,0)))+_C)+(_N-1)*(SQRT($A23^2+VLOOKUP(Type,Vehicles[],4+USC?,0)*(2*VLOOKUP(Type,Vehicles[],6+USC?,0)+VLOOKUP(Type,Vehicles[],4+USC?,0)))-$A23)+IF(USC?,1,0.1)*(P$6/SQRT($A23))-_N/2*_Wn,1),0),""))</f>
        <v/>
      </c>
    </row>
    <row r="24" spans="1:16" x14ac:dyDescent="0.2">
      <c r="A24" s="22">
        <f ca="1">IFERROR(INDEX(Radius.List[Radius],ROW(A24)-ROW(A$6)-1+IF(LEN(Max.Radius)&gt;0,MATCH(Max.Radius,Radius.List[Radius],0)-1,IFERROR(MATCH(IF(USC?,1.6,0.5),Radius.List[Widening],1)-1,0))),"")</f>
        <v>140</v>
      </c>
      <c r="B24" s="4">
        <f ca="1">IF($A24&lt;B$48,"",IFERROR(MAX(ROUND(_N*(((VLOOKUP(Type,Vehicles[],2+USC?,0))+$A24-SQRT($A24^2-VLOOKUP(Type,Vehicles[],8+USC?,0)))+_C)+(_N-1)*(SQRT($A24^2+VLOOKUP(Type,Vehicles[],4+USC?,0)*(2*VLOOKUP(Type,Vehicles[],6+USC?,0)+VLOOKUP(Type,Vehicles[],4+USC?,0)))-$A24)+IF(USC?,1,0.1)*(B$6/SQRT($A24))-_N/2*_Wn,1),0),""))</f>
        <v>6</v>
      </c>
      <c r="C24" s="4">
        <f ca="1">IF($A24&lt;C$48,"",IFERROR(MAX(ROUND(_N*(((VLOOKUP(Type,Vehicles[],2+USC?,0))+$A24-SQRT($A24^2-VLOOKUP(Type,Vehicles[],8+USC?,0)))+_C)+(_N-1)*(SQRT($A24^2+VLOOKUP(Type,Vehicles[],4+USC?,0)*(2*VLOOKUP(Type,Vehicles[],6+USC?,0)+VLOOKUP(Type,Vehicles[],4+USC?,0)))-$A24)+IF(USC?,1,0.1)*(C$6/SQRT($A24))-_N/2*_Wn,1),0),""))</f>
        <v>6.4</v>
      </c>
      <c r="D24" s="4">
        <f ca="1">IF($A24&lt;D$48,"",IFERROR(MAX(ROUND(_N*(((VLOOKUP(Type,Vehicles[],2+USC?,0))+$A24-SQRT($A24^2-VLOOKUP(Type,Vehicles[],8+USC?,0)))+_C)+(_N-1)*(SQRT($A24^2+VLOOKUP(Type,Vehicles[],4+USC?,0)*(2*VLOOKUP(Type,Vehicles[],6+USC?,0)+VLOOKUP(Type,Vehicles[],4+USC?,0)))-$A24)+IF(USC?,1,0.1)*(D$6/SQRT($A24))-_N/2*_Wn,1),0),""))</f>
        <v>6.8</v>
      </c>
      <c r="E24" s="4">
        <f ca="1">IF($A24&lt;E$48,"",IFERROR(MAX(ROUND(_N*(((VLOOKUP(Type,Vehicles[],2+USC?,0))+$A24-SQRT($A24^2-VLOOKUP(Type,Vehicles[],8+USC?,0)))+_C)+(_N-1)*(SQRT($A24^2+VLOOKUP(Type,Vehicles[],4+USC?,0)*(2*VLOOKUP(Type,Vehicles[],6+USC?,0)+VLOOKUP(Type,Vehicles[],4+USC?,0)))-$A24)+IF(USC?,1,0.1)*(E$6/SQRT($A24))-_N/2*_Wn,1),0),""))</f>
        <v>7.2</v>
      </c>
      <c r="F24" s="4" t="str">
        <f ca="1">IF($A24&lt;F$48,"",IFERROR(MAX(ROUND(_N*(((VLOOKUP(Type,Vehicles[],2+USC?,0))+$A24-SQRT($A24^2-VLOOKUP(Type,Vehicles[],8+USC?,0)))+_C)+(_N-1)*(SQRT($A24^2+VLOOKUP(Type,Vehicles[],4+USC?,0)*(2*VLOOKUP(Type,Vehicles[],6+USC?,0)+VLOOKUP(Type,Vehicles[],4+USC?,0)))-$A24)+IF(USC?,1,0.1)*(F$6/SQRT($A24))-_N/2*_Wn,1),0),""))</f>
        <v/>
      </c>
      <c r="G24" s="4" t="str">
        <f ca="1">IF($A24&lt;G$48,"",IFERROR(MAX(ROUND(_N*(((VLOOKUP(Type,Vehicles[],2+USC?,0))+$A24-SQRT($A24^2-VLOOKUP(Type,Vehicles[],8+USC?,0)))+_C)+(_N-1)*(SQRT($A24^2+VLOOKUP(Type,Vehicles[],4+USC?,0)*(2*VLOOKUP(Type,Vehicles[],6+USC?,0)+VLOOKUP(Type,Vehicles[],4+USC?,0)))-$A24)+IF(USC?,1,0.1)*(G$6/SQRT($A24))-_N/2*_Wn,1),0),""))</f>
        <v/>
      </c>
      <c r="H24" s="4" t="str">
        <f ca="1">IF($A24&lt;H$48,"",IFERROR(MAX(ROUND(_N*(((VLOOKUP(Type,Vehicles[],2+USC?,0))+$A24-SQRT($A24^2-VLOOKUP(Type,Vehicles[],8+USC?,0)))+_C)+(_N-1)*(SQRT($A24^2+VLOOKUP(Type,Vehicles[],4+USC?,0)*(2*VLOOKUP(Type,Vehicles[],6+USC?,0)+VLOOKUP(Type,Vehicles[],4+USC?,0)))-$A24)+IF(USC?,1,0.1)*(H$6/SQRT($A24))-_N/2*_Wn,1),0),""))</f>
        <v/>
      </c>
      <c r="I24" s="4" t="str">
        <f ca="1">IF($A24&lt;I$48,"",IFERROR(MAX(ROUND(_N*(((VLOOKUP(Type,Vehicles[],2+USC?,0))+$A24-SQRT($A24^2-VLOOKUP(Type,Vehicles[],8+USC?,0)))+_C)+(_N-1)*(SQRT($A24^2+VLOOKUP(Type,Vehicles[],4+USC?,0)*(2*VLOOKUP(Type,Vehicles[],6+USC?,0)+VLOOKUP(Type,Vehicles[],4+USC?,0)))-$A24)+IF(USC?,1,0.1)*(I$6/SQRT($A24))-_N/2*_Wn,1),0),""))</f>
        <v/>
      </c>
      <c r="J24" s="4" t="str">
        <f ca="1">IF($A24&lt;J$48,"",IFERROR(MAX(ROUND(_N*(((VLOOKUP(Type,Vehicles[],2+USC?,0))+$A24-SQRT($A24^2-VLOOKUP(Type,Vehicles[],8+USC?,0)))+_C)+(_N-1)*(SQRT($A24^2+VLOOKUP(Type,Vehicles[],4+USC?,0)*(2*VLOOKUP(Type,Vehicles[],6+USC?,0)+VLOOKUP(Type,Vehicles[],4+USC?,0)))-$A24)+IF(USC?,1,0.1)*(J$6/SQRT($A24))-_N/2*_Wn,1),0),""))</f>
        <v/>
      </c>
      <c r="K24" s="4" t="str">
        <f ca="1">IF($A24&lt;K$48,"",IFERROR(MAX(ROUND(_N*(((VLOOKUP(Type,Vehicles[],2+USC?,0))+$A24-SQRT($A24^2-VLOOKUP(Type,Vehicles[],8+USC?,0)))+_C)+(_N-1)*(SQRT($A24^2+VLOOKUP(Type,Vehicles[],4+USC?,0)*(2*VLOOKUP(Type,Vehicles[],6+USC?,0)+VLOOKUP(Type,Vehicles[],4+USC?,0)))-$A24)+IF(USC?,1,0.1)*(K$6/SQRT($A24))-_N/2*_Wn,1),0),""))</f>
        <v/>
      </c>
      <c r="L24" s="4" t="str">
        <f ca="1">IF($A24&lt;L$48,"",IFERROR(MAX(ROUND(_N*(((VLOOKUP(Type,Vehicles[],2+USC?,0))+$A24-SQRT($A24^2-VLOOKUP(Type,Vehicles[],8+USC?,0)))+_C)+(_N-1)*(SQRT($A24^2+VLOOKUP(Type,Vehicles[],4+USC?,0)*(2*VLOOKUP(Type,Vehicles[],6+USC?,0)+VLOOKUP(Type,Vehicles[],4+USC?,0)))-$A24)+IF(USC?,1,0.1)*(L$6/SQRT($A24))-_N/2*_Wn,1),0),""))</f>
        <v/>
      </c>
      <c r="M24" s="4" t="str">
        <f ca="1">IF($A24&lt;M$48,"",IFERROR(MAX(ROUND(_N*(((VLOOKUP(Type,Vehicles[],2+USC?,0))+$A24-SQRT($A24^2-VLOOKUP(Type,Vehicles[],8+USC?,0)))+_C)+(_N-1)*(SQRT($A24^2+VLOOKUP(Type,Vehicles[],4+USC?,0)*(2*VLOOKUP(Type,Vehicles[],6+USC?,0)+VLOOKUP(Type,Vehicles[],4+USC?,0)))-$A24)+IF(USC?,1,0.1)*(M$6/SQRT($A24))-_N/2*_Wn,1),0),""))</f>
        <v/>
      </c>
      <c r="N24" s="4" t="str">
        <f ca="1">IF($A24&lt;N$48,"",IFERROR(MAX(ROUND(_N*(((VLOOKUP(Type,Vehicles[],2+USC?,0))+$A24-SQRT($A24^2-VLOOKUP(Type,Vehicles[],8+USC?,0)))+_C)+(_N-1)*(SQRT($A24^2+VLOOKUP(Type,Vehicles[],4+USC?,0)*(2*VLOOKUP(Type,Vehicles[],6+USC?,0)+VLOOKUP(Type,Vehicles[],4+USC?,0)))-$A24)+IF(USC?,1,0.1)*(N$6/SQRT($A24))-_N/2*_Wn,1),0),""))</f>
        <v/>
      </c>
      <c r="O24" s="4" t="str">
        <f ca="1">IF($A24&lt;O$48,"",IFERROR(MAX(ROUND(_N*(((VLOOKUP(Type,Vehicles[],2+USC?,0))+$A24-SQRT($A24^2-VLOOKUP(Type,Vehicles[],8+USC?,0)))+_C)+(_N-1)*(SQRT($A24^2+VLOOKUP(Type,Vehicles[],4+USC?,0)*(2*VLOOKUP(Type,Vehicles[],6+USC?,0)+VLOOKUP(Type,Vehicles[],4+USC?,0)))-$A24)+IF(USC?,1,0.1)*(O$6/SQRT($A24))-_N/2*_Wn,1),0),""))</f>
        <v/>
      </c>
      <c r="P24" s="4" t="str">
        <f ca="1">IF($A24&lt;P$48,"",IFERROR(MAX(ROUND(_N*(((VLOOKUP(Type,Vehicles[],2+USC?,0))+$A24-SQRT($A24^2-VLOOKUP(Type,Vehicles[],8+USC?,0)))+_C)+(_N-1)*(SQRT($A24^2+VLOOKUP(Type,Vehicles[],4+USC?,0)*(2*VLOOKUP(Type,Vehicles[],6+USC?,0)+VLOOKUP(Type,Vehicles[],4+USC?,0)))-$A24)+IF(USC?,1,0.1)*(P$6/SQRT($A24))-_N/2*_Wn,1),0),""))</f>
        <v/>
      </c>
    </row>
    <row r="25" spans="1:16" x14ac:dyDescent="0.2">
      <c r="A25" s="22">
        <f ca="1">IFERROR(INDEX(Radius.List[Radius],ROW(A25)-ROW(A$6)-1+IF(LEN(Max.Radius)&gt;0,MATCH(Max.Radius,Radius.List[Radius],0)-1,IFERROR(MATCH(IF(USC?,1.6,0.5),Radius.List[Widening],1)-1,0))),"")</f>
        <v>130</v>
      </c>
      <c r="B25" s="4">
        <f ca="1">IF($A25&lt;B$48,"",IFERROR(MAX(ROUND(_N*(((VLOOKUP(Type,Vehicles[],2+USC?,0))+$A25-SQRT($A25^2-VLOOKUP(Type,Vehicles[],8+USC?,0)))+_C)+(_N-1)*(SQRT($A25^2+VLOOKUP(Type,Vehicles[],4+USC?,0)*(2*VLOOKUP(Type,Vehicles[],6+USC?,0)+VLOOKUP(Type,Vehicles[],4+USC?,0)))-$A25)+IF(USC?,1,0.1)*(B$6/SQRT($A25))-_N/2*_Wn,1),0),""))</f>
        <v>6.5</v>
      </c>
      <c r="C25" s="4">
        <f ca="1">IF($A25&lt;C$48,"",IFERROR(MAX(ROUND(_N*(((VLOOKUP(Type,Vehicles[],2+USC?,0))+$A25-SQRT($A25^2-VLOOKUP(Type,Vehicles[],8+USC?,0)))+_C)+(_N-1)*(SQRT($A25^2+VLOOKUP(Type,Vehicles[],4+USC?,0)*(2*VLOOKUP(Type,Vehicles[],6+USC?,0)+VLOOKUP(Type,Vehicles[],4+USC?,0)))-$A25)+IF(USC?,1,0.1)*(C$6/SQRT($A25))-_N/2*_Wn,1),0),""))</f>
        <v>6.9</v>
      </c>
      <c r="D25" s="4">
        <f ca="1">IF($A25&lt;D$48,"",IFERROR(MAX(ROUND(_N*(((VLOOKUP(Type,Vehicles[],2+USC?,0))+$A25-SQRT($A25^2-VLOOKUP(Type,Vehicles[],8+USC?,0)))+_C)+(_N-1)*(SQRT($A25^2+VLOOKUP(Type,Vehicles[],4+USC?,0)*(2*VLOOKUP(Type,Vehicles[],6+USC?,0)+VLOOKUP(Type,Vehicles[],4+USC?,0)))-$A25)+IF(USC?,1,0.1)*(D$6/SQRT($A25))-_N/2*_Wn,1),0),""))</f>
        <v>7.4</v>
      </c>
      <c r="E25" s="4">
        <f ca="1">IF($A25&lt;E$48,"",IFERROR(MAX(ROUND(_N*(((VLOOKUP(Type,Vehicles[],2+USC?,0))+$A25-SQRT($A25^2-VLOOKUP(Type,Vehicles[],8+USC?,0)))+_C)+(_N-1)*(SQRT($A25^2+VLOOKUP(Type,Vehicles[],4+USC?,0)*(2*VLOOKUP(Type,Vehicles[],6+USC?,0)+VLOOKUP(Type,Vehicles[],4+USC?,0)))-$A25)+IF(USC?,1,0.1)*(E$6/SQRT($A25))-_N/2*_Wn,1),0),""))</f>
        <v>7.8</v>
      </c>
      <c r="F25" s="4" t="str">
        <f ca="1">IF($A25&lt;F$48,"",IFERROR(MAX(ROUND(_N*(((VLOOKUP(Type,Vehicles[],2+USC?,0))+$A25-SQRT($A25^2-VLOOKUP(Type,Vehicles[],8+USC?,0)))+_C)+(_N-1)*(SQRT($A25^2+VLOOKUP(Type,Vehicles[],4+USC?,0)*(2*VLOOKUP(Type,Vehicles[],6+USC?,0)+VLOOKUP(Type,Vehicles[],4+USC?,0)))-$A25)+IF(USC?,1,0.1)*(F$6/SQRT($A25))-_N/2*_Wn,1),0),""))</f>
        <v/>
      </c>
      <c r="G25" s="4" t="str">
        <f ca="1">IF($A25&lt;G$48,"",IFERROR(MAX(ROUND(_N*(((VLOOKUP(Type,Vehicles[],2+USC?,0))+$A25-SQRT($A25^2-VLOOKUP(Type,Vehicles[],8+USC?,0)))+_C)+(_N-1)*(SQRT($A25^2+VLOOKUP(Type,Vehicles[],4+USC?,0)*(2*VLOOKUP(Type,Vehicles[],6+USC?,0)+VLOOKUP(Type,Vehicles[],4+USC?,0)))-$A25)+IF(USC?,1,0.1)*(G$6/SQRT($A25))-_N/2*_Wn,1),0),""))</f>
        <v/>
      </c>
      <c r="H25" s="4" t="str">
        <f ca="1">IF($A25&lt;H$48,"",IFERROR(MAX(ROUND(_N*(((VLOOKUP(Type,Vehicles[],2+USC?,0))+$A25-SQRT($A25^2-VLOOKUP(Type,Vehicles[],8+USC?,0)))+_C)+(_N-1)*(SQRT($A25^2+VLOOKUP(Type,Vehicles[],4+USC?,0)*(2*VLOOKUP(Type,Vehicles[],6+USC?,0)+VLOOKUP(Type,Vehicles[],4+USC?,0)))-$A25)+IF(USC?,1,0.1)*(H$6/SQRT($A25))-_N/2*_Wn,1),0),""))</f>
        <v/>
      </c>
      <c r="I25" s="4" t="str">
        <f ca="1">IF($A25&lt;I$48,"",IFERROR(MAX(ROUND(_N*(((VLOOKUP(Type,Vehicles[],2+USC?,0))+$A25-SQRT($A25^2-VLOOKUP(Type,Vehicles[],8+USC?,0)))+_C)+(_N-1)*(SQRT($A25^2+VLOOKUP(Type,Vehicles[],4+USC?,0)*(2*VLOOKUP(Type,Vehicles[],6+USC?,0)+VLOOKUP(Type,Vehicles[],4+USC?,0)))-$A25)+IF(USC?,1,0.1)*(I$6/SQRT($A25))-_N/2*_Wn,1),0),""))</f>
        <v/>
      </c>
      <c r="J25" s="4" t="str">
        <f ca="1">IF($A25&lt;J$48,"",IFERROR(MAX(ROUND(_N*(((VLOOKUP(Type,Vehicles[],2+USC?,0))+$A25-SQRT($A25^2-VLOOKUP(Type,Vehicles[],8+USC?,0)))+_C)+(_N-1)*(SQRT($A25^2+VLOOKUP(Type,Vehicles[],4+USC?,0)*(2*VLOOKUP(Type,Vehicles[],6+USC?,0)+VLOOKUP(Type,Vehicles[],4+USC?,0)))-$A25)+IF(USC?,1,0.1)*(J$6/SQRT($A25))-_N/2*_Wn,1),0),""))</f>
        <v/>
      </c>
      <c r="K25" s="4" t="str">
        <f ca="1">IF($A25&lt;K$48,"",IFERROR(MAX(ROUND(_N*(((VLOOKUP(Type,Vehicles[],2+USC?,0))+$A25-SQRT($A25^2-VLOOKUP(Type,Vehicles[],8+USC?,0)))+_C)+(_N-1)*(SQRT($A25^2+VLOOKUP(Type,Vehicles[],4+USC?,0)*(2*VLOOKUP(Type,Vehicles[],6+USC?,0)+VLOOKUP(Type,Vehicles[],4+USC?,0)))-$A25)+IF(USC?,1,0.1)*(K$6/SQRT($A25))-_N/2*_Wn,1),0),""))</f>
        <v/>
      </c>
      <c r="L25" s="4" t="str">
        <f ca="1">IF($A25&lt;L$48,"",IFERROR(MAX(ROUND(_N*(((VLOOKUP(Type,Vehicles[],2+USC?,0))+$A25-SQRT($A25^2-VLOOKUP(Type,Vehicles[],8+USC?,0)))+_C)+(_N-1)*(SQRT($A25^2+VLOOKUP(Type,Vehicles[],4+USC?,0)*(2*VLOOKUP(Type,Vehicles[],6+USC?,0)+VLOOKUP(Type,Vehicles[],4+USC?,0)))-$A25)+IF(USC?,1,0.1)*(L$6/SQRT($A25))-_N/2*_Wn,1),0),""))</f>
        <v/>
      </c>
      <c r="M25" s="4" t="str">
        <f ca="1">IF($A25&lt;M$48,"",IFERROR(MAX(ROUND(_N*(((VLOOKUP(Type,Vehicles[],2+USC?,0))+$A25-SQRT($A25^2-VLOOKUP(Type,Vehicles[],8+USC?,0)))+_C)+(_N-1)*(SQRT($A25^2+VLOOKUP(Type,Vehicles[],4+USC?,0)*(2*VLOOKUP(Type,Vehicles[],6+USC?,0)+VLOOKUP(Type,Vehicles[],4+USC?,0)))-$A25)+IF(USC?,1,0.1)*(M$6/SQRT($A25))-_N/2*_Wn,1),0),""))</f>
        <v/>
      </c>
      <c r="N25" s="4" t="str">
        <f ca="1">IF($A25&lt;N$48,"",IFERROR(MAX(ROUND(_N*(((VLOOKUP(Type,Vehicles[],2+USC?,0))+$A25-SQRT($A25^2-VLOOKUP(Type,Vehicles[],8+USC?,0)))+_C)+(_N-1)*(SQRT($A25^2+VLOOKUP(Type,Vehicles[],4+USC?,0)*(2*VLOOKUP(Type,Vehicles[],6+USC?,0)+VLOOKUP(Type,Vehicles[],4+USC?,0)))-$A25)+IF(USC?,1,0.1)*(N$6/SQRT($A25))-_N/2*_Wn,1),0),""))</f>
        <v/>
      </c>
      <c r="O25" s="4" t="str">
        <f ca="1">IF($A25&lt;O$48,"",IFERROR(MAX(ROUND(_N*(((VLOOKUP(Type,Vehicles[],2+USC?,0))+$A25-SQRT($A25^2-VLOOKUP(Type,Vehicles[],8+USC?,0)))+_C)+(_N-1)*(SQRT($A25^2+VLOOKUP(Type,Vehicles[],4+USC?,0)*(2*VLOOKUP(Type,Vehicles[],6+USC?,0)+VLOOKUP(Type,Vehicles[],4+USC?,0)))-$A25)+IF(USC?,1,0.1)*(O$6/SQRT($A25))-_N/2*_Wn,1),0),""))</f>
        <v/>
      </c>
      <c r="P25" s="4" t="str">
        <f ca="1">IF($A25&lt;P$48,"",IFERROR(MAX(ROUND(_N*(((VLOOKUP(Type,Vehicles[],2+USC?,0))+$A25-SQRT($A25^2-VLOOKUP(Type,Vehicles[],8+USC?,0)))+_C)+(_N-1)*(SQRT($A25^2+VLOOKUP(Type,Vehicles[],4+USC?,0)*(2*VLOOKUP(Type,Vehicles[],6+USC?,0)+VLOOKUP(Type,Vehicles[],4+USC?,0)))-$A25)+IF(USC?,1,0.1)*(P$6/SQRT($A25))-_N/2*_Wn,1),0),""))</f>
        <v/>
      </c>
    </row>
    <row r="26" spans="1:16" x14ac:dyDescent="0.2">
      <c r="A26" s="22">
        <f ca="1">IFERROR(INDEX(Radius.List[Radius],ROW(A26)-ROW(A$6)-1+IF(LEN(Max.Radius)&gt;0,MATCH(Max.Radius,Radius.List[Radius],0)-1,IFERROR(MATCH(IF(USC?,1.6,0.5),Radius.List[Widening],1)-1,0))),"")</f>
        <v>120</v>
      </c>
      <c r="B26" s="4">
        <f ca="1">IF($A26&lt;B$48,"",IFERROR(MAX(ROUND(_N*(((VLOOKUP(Type,Vehicles[],2+USC?,0))+$A26-SQRT($A26^2-VLOOKUP(Type,Vehicles[],8+USC?,0)))+_C)+(_N-1)*(SQRT($A26^2+VLOOKUP(Type,Vehicles[],4+USC?,0)*(2*VLOOKUP(Type,Vehicles[],6+USC?,0)+VLOOKUP(Type,Vehicles[],4+USC?,0)))-$A26)+IF(USC?,1,0.1)*(B$6/SQRT($A26))-_N/2*_Wn,1),0),""))</f>
        <v>7.1</v>
      </c>
      <c r="C26" s="4">
        <f ca="1">IF($A26&lt;C$48,"",IFERROR(MAX(ROUND(_N*(((VLOOKUP(Type,Vehicles[],2+USC?,0))+$A26-SQRT($A26^2-VLOOKUP(Type,Vehicles[],8+USC?,0)))+_C)+(_N-1)*(SQRT($A26^2+VLOOKUP(Type,Vehicles[],4+USC?,0)*(2*VLOOKUP(Type,Vehicles[],6+USC?,0)+VLOOKUP(Type,Vehicles[],4+USC?,0)))-$A26)+IF(USC?,1,0.1)*(C$6/SQRT($A26))-_N/2*_Wn,1),0),""))</f>
        <v>7.5</v>
      </c>
      <c r="D26" s="4">
        <f ca="1">IF($A26&lt;D$48,"",IFERROR(MAX(ROUND(_N*(((VLOOKUP(Type,Vehicles[],2+USC?,0))+$A26-SQRT($A26^2-VLOOKUP(Type,Vehicles[],8+USC?,0)))+_C)+(_N-1)*(SQRT($A26^2+VLOOKUP(Type,Vehicles[],4+USC?,0)*(2*VLOOKUP(Type,Vehicles[],6+USC?,0)+VLOOKUP(Type,Vehicles[],4+USC?,0)))-$A26)+IF(USC?,1,0.1)*(D$6/SQRT($A26))-_N/2*_Wn,1),0),""))</f>
        <v>8</v>
      </c>
      <c r="E26" s="4">
        <f ca="1">IF($A26&lt;E$48,"",IFERROR(MAX(ROUND(_N*(((VLOOKUP(Type,Vehicles[],2+USC?,0))+$A26-SQRT($A26^2-VLOOKUP(Type,Vehicles[],8+USC?,0)))+_C)+(_N-1)*(SQRT($A26^2+VLOOKUP(Type,Vehicles[],4+USC?,0)*(2*VLOOKUP(Type,Vehicles[],6+USC?,0)+VLOOKUP(Type,Vehicles[],4+USC?,0)))-$A26)+IF(USC?,1,0.1)*(E$6/SQRT($A26))-_N/2*_Wn,1),0),""))</f>
        <v>8.4</v>
      </c>
      <c r="F26" s="4" t="str">
        <f ca="1">IF($A26&lt;F$48,"",IFERROR(MAX(ROUND(_N*(((VLOOKUP(Type,Vehicles[],2+USC?,0))+$A26-SQRT($A26^2-VLOOKUP(Type,Vehicles[],8+USC?,0)))+_C)+(_N-1)*(SQRT($A26^2+VLOOKUP(Type,Vehicles[],4+USC?,0)*(2*VLOOKUP(Type,Vehicles[],6+USC?,0)+VLOOKUP(Type,Vehicles[],4+USC?,0)))-$A26)+IF(USC?,1,0.1)*(F$6/SQRT($A26))-_N/2*_Wn,1),0),""))</f>
        <v/>
      </c>
      <c r="G26" s="4" t="str">
        <f ca="1">IF($A26&lt;G$48,"",IFERROR(MAX(ROUND(_N*(((VLOOKUP(Type,Vehicles[],2+USC?,0))+$A26-SQRT($A26^2-VLOOKUP(Type,Vehicles[],8+USC?,0)))+_C)+(_N-1)*(SQRT($A26^2+VLOOKUP(Type,Vehicles[],4+USC?,0)*(2*VLOOKUP(Type,Vehicles[],6+USC?,0)+VLOOKUP(Type,Vehicles[],4+USC?,0)))-$A26)+IF(USC?,1,0.1)*(G$6/SQRT($A26))-_N/2*_Wn,1),0),""))</f>
        <v/>
      </c>
      <c r="H26" s="4" t="str">
        <f ca="1">IF($A26&lt;H$48,"",IFERROR(MAX(ROUND(_N*(((VLOOKUP(Type,Vehicles[],2+USC?,0))+$A26-SQRT($A26^2-VLOOKUP(Type,Vehicles[],8+USC?,0)))+_C)+(_N-1)*(SQRT($A26^2+VLOOKUP(Type,Vehicles[],4+USC?,0)*(2*VLOOKUP(Type,Vehicles[],6+USC?,0)+VLOOKUP(Type,Vehicles[],4+USC?,0)))-$A26)+IF(USC?,1,0.1)*(H$6/SQRT($A26))-_N/2*_Wn,1),0),""))</f>
        <v/>
      </c>
      <c r="I26" s="4" t="str">
        <f ca="1">IF($A26&lt;I$48,"",IFERROR(MAX(ROUND(_N*(((VLOOKUP(Type,Vehicles[],2+USC?,0))+$A26-SQRT($A26^2-VLOOKUP(Type,Vehicles[],8+USC?,0)))+_C)+(_N-1)*(SQRT($A26^2+VLOOKUP(Type,Vehicles[],4+USC?,0)*(2*VLOOKUP(Type,Vehicles[],6+USC?,0)+VLOOKUP(Type,Vehicles[],4+USC?,0)))-$A26)+IF(USC?,1,0.1)*(I$6/SQRT($A26))-_N/2*_Wn,1),0),""))</f>
        <v/>
      </c>
      <c r="J26" s="4" t="str">
        <f ca="1">IF($A26&lt;J$48,"",IFERROR(MAX(ROUND(_N*(((VLOOKUP(Type,Vehicles[],2+USC?,0))+$A26-SQRT($A26^2-VLOOKUP(Type,Vehicles[],8+USC?,0)))+_C)+(_N-1)*(SQRT($A26^2+VLOOKUP(Type,Vehicles[],4+USC?,0)*(2*VLOOKUP(Type,Vehicles[],6+USC?,0)+VLOOKUP(Type,Vehicles[],4+USC?,0)))-$A26)+IF(USC?,1,0.1)*(J$6/SQRT($A26))-_N/2*_Wn,1),0),""))</f>
        <v/>
      </c>
      <c r="K26" s="4" t="str">
        <f ca="1">IF($A26&lt;K$48,"",IFERROR(MAX(ROUND(_N*(((VLOOKUP(Type,Vehicles[],2+USC?,0))+$A26-SQRT($A26^2-VLOOKUP(Type,Vehicles[],8+USC?,0)))+_C)+(_N-1)*(SQRT($A26^2+VLOOKUP(Type,Vehicles[],4+USC?,0)*(2*VLOOKUP(Type,Vehicles[],6+USC?,0)+VLOOKUP(Type,Vehicles[],4+USC?,0)))-$A26)+IF(USC?,1,0.1)*(K$6/SQRT($A26))-_N/2*_Wn,1),0),""))</f>
        <v/>
      </c>
      <c r="L26" s="4" t="str">
        <f ca="1">IF($A26&lt;L$48,"",IFERROR(MAX(ROUND(_N*(((VLOOKUP(Type,Vehicles[],2+USC?,0))+$A26-SQRT($A26^2-VLOOKUP(Type,Vehicles[],8+USC?,0)))+_C)+(_N-1)*(SQRT($A26^2+VLOOKUP(Type,Vehicles[],4+USC?,0)*(2*VLOOKUP(Type,Vehicles[],6+USC?,0)+VLOOKUP(Type,Vehicles[],4+USC?,0)))-$A26)+IF(USC?,1,0.1)*(L$6/SQRT($A26))-_N/2*_Wn,1),0),""))</f>
        <v/>
      </c>
      <c r="M26" s="4" t="str">
        <f ca="1">IF($A26&lt;M$48,"",IFERROR(MAX(ROUND(_N*(((VLOOKUP(Type,Vehicles[],2+USC?,0))+$A26-SQRT($A26^2-VLOOKUP(Type,Vehicles[],8+USC?,0)))+_C)+(_N-1)*(SQRT($A26^2+VLOOKUP(Type,Vehicles[],4+USC?,0)*(2*VLOOKUP(Type,Vehicles[],6+USC?,0)+VLOOKUP(Type,Vehicles[],4+USC?,0)))-$A26)+IF(USC?,1,0.1)*(M$6/SQRT($A26))-_N/2*_Wn,1),0),""))</f>
        <v/>
      </c>
      <c r="N26" s="4" t="str">
        <f ca="1">IF($A26&lt;N$48,"",IFERROR(MAX(ROUND(_N*(((VLOOKUP(Type,Vehicles[],2+USC?,0))+$A26-SQRT($A26^2-VLOOKUP(Type,Vehicles[],8+USC?,0)))+_C)+(_N-1)*(SQRT($A26^2+VLOOKUP(Type,Vehicles[],4+USC?,0)*(2*VLOOKUP(Type,Vehicles[],6+USC?,0)+VLOOKUP(Type,Vehicles[],4+USC?,0)))-$A26)+IF(USC?,1,0.1)*(N$6/SQRT($A26))-_N/2*_Wn,1),0),""))</f>
        <v/>
      </c>
      <c r="O26" s="4" t="str">
        <f ca="1">IF($A26&lt;O$48,"",IFERROR(MAX(ROUND(_N*(((VLOOKUP(Type,Vehicles[],2+USC?,0))+$A26-SQRT($A26^2-VLOOKUP(Type,Vehicles[],8+USC?,0)))+_C)+(_N-1)*(SQRT($A26^2+VLOOKUP(Type,Vehicles[],4+USC?,0)*(2*VLOOKUP(Type,Vehicles[],6+USC?,0)+VLOOKUP(Type,Vehicles[],4+USC?,0)))-$A26)+IF(USC?,1,0.1)*(O$6/SQRT($A26))-_N/2*_Wn,1),0),""))</f>
        <v/>
      </c>
      <c r="P26" s="4" t="str">
        <f ca="1">IF($A26&lt;P$48,"",IFERROR(MAX(ROUND(_N*(((VLOOKUP(Type,Vehicles[],2+USC?,0))+$A26-SQRT($A26^2-VLOOKUP(Type,Vehicles[],8+USC?,0)))+_C)+(_N-1)*(SQRT($A26^2+VLOOKUP(Type,Vehicles[],4+USC?,0)*(2*VLOOKUP(Type,Vehicles[],6+USC?,0)+VLOOKUP(Type,Vehicles[],4+USC?,0)))-$A26)+IF(USC?,1,0.1)*(P$6/SQRT($A26))-_N/2*_Wn,1),0),""))</f>
        <v/>
      </c>
    </row>
    <row r="27" spans="1:16" x14ac:dyDescent="0.2">
      <c r="A27" s="22">
        <f ca="1">IFERROR(INDEX(Radius.List[Radius],ROW(A27)-ROW(A$6)-1+IF(LEN(Max.Radius)&gt;0,MATCH(Max.Radius,Radius.List[Radius],0)-1,IFERROR(MATCH(IF(USC?,1.6,0.5),Radius.List[Widening],1)-1,0))),"")</f>
        <v>110</v>
      </c>
      <c r="B27" s="4">
        <f ca="1">IF($A27&lt;B$48,"",IFERROR(MAX(ROUND(_N*(((VLOOKUP(Type,Vehicles[],2+USC?,0))+$A27-SQRT($A27^2-VLOOKUP(Type,Vehicles[],8+USC?,0)))+_C)+(_N-1)*(SQRT($A27^2+VLOOKUP(Type,Vehicles[],4+USC?,0)*(2*VLOOKUP(Type,Vehicles[],6+USC?,0)+VLOOKUP(Type,Vehicles[],4+USC?,0)))-$A27)+IF(USC?,1,0.1)*(B$6/SQRT($A27))-_N/2*_Wn,1),0),""))</f>
        <v>7.8</v>
      </c>
      <c r="C27" s="4">
        <f ca="1">IF($A27&lt;C$48,"",IFERROR(MAX(ROUND(_N*(((VLOOKUP(Type,Vehicles[],2+USC?,0))+$A27-SQRT($A27^2-VLOOKUP(Type,Vehicles[],8+USC?,0)))+_C)+(_N-1)*(SQRT($A27^2+VLOOKUP(Type,Vehicles[],4+USC?,0)*(2*VLOOKUP(Type,Vehicles[],6+USC?,0)+VLOOKUP(Type,Vehicles[],4+USC?,0)))-$A27)+IF(USC?,1,0.1)*(C$6/SQRT($A27))-_N/2*_Wn,1),0),""))</f>
        <v>8.3000000000000007</v>
      </c>
      <c r="D27" s="4">
        <f ca="1">IF($A27&lt;D$48,"",IFERROR(MAX(ROUND(_N*(((VLOOKUP(Type,Vehicles[],2+USC?,0))+$A27-SQRT($A27^2-VLOOKUP(Type,Vehicles[],8+USC?,0)))+_C)+(_N-1)*(SQRT($A27^2+VLOOKUP(Type,Vehicles[],4+USC?,0)*(2*VLOOKUP(Type,Vehicles[],6+USC?,0)+VLOOKUP(Type,Vehicles[],4+USC?,0)))-$A27)+IF(USC?,1,0.1)*(D$6/SQRT($A27))-_N/2*_Wn,1),0),""))</f>
        <v>8.6999999999999993</v>
      </c>
      <c r="E27" s="4" t="str">
        <f ca="1">IF($A27&lt;E$48,"",IFERROR(MAX(ROUND(_N*(((VLOOKUP(Type,Vehicles[],2+USC?,0))+$A27-SQRT($A27^2-VLOOKUP(Type,Vehicles[],8+USC?,0)))+_C)+(_N-1)*(SQRT($A27^2+VLOOKUP(Type,Vehicles[],4+USC?,0)*(2*VLOOKUP(Type,Vehicles[],6+USC?,0)+VLOOKUP(Type,Vehicles[],4+USC?,0)))-$A27)+IF(USC?,1,0.1)*(E$6/SQRT($A27))-_N/2*_Wn,1),0),""))</f>
        <v/>
      </c>
      <c r="F27" s="4" t="str">
        <f ca="1">IF($A27&lt;F$48,"",IFERROR(MAX(ROUND(_N*(((VLOOKUP(Type,Vehicles[],2+USC?,0))+$A27-SQRT($A27^2-VLOOKUP(Type,Vehicles[],8+USC?,0)))+_C)+(_N-1)*(SQRT($A27^2+VLOOKUP(Type,Vehicles[],4+USC?,0)*(2*VLOOKUP(Type,Vehicles[],6+USC?,0)+VLOOKUP(Type,Vehicles[],4+USC?,0)))-$A27)+IF(USC?,1,0.1)*(F$6/SQRT($A27))-_N/2*_Wn,1),0),""))</f>
        <v/>
      </c>
      <c r="G27" s="4" t="str">
        <f ca="1">IF($A27&lt;G$48,"",IFERROR(MAX(ROUND(_N*(((VLOOKUP(Type,Vehicles[],2+USC?,0))+$A27-SQRT($A27^2-VLOOKUP(Type,Vehicles[],8+USC?,0)))+_C)+(_N-1)*(SQRT($A27^2+VLOOKUP(Type,Vehicles[],4+USC?,0)*(2*VLOOKUP(Type,Vehicles[],6+USC?,0)+VLOOKUP(Type,Vehicles[],4+USC?,0)))-$A27)+IF(USC?,1,0.1)*(G$6/SQRT($A27))-_N/2*_Wn,1),0),""))</f>
        <v/>
      </c>
      <c r="H27" s="4" t="str">
        <f ca="1">IF($A27&lt;H$48,"",IFERROR(MAX(ROUND(_N*(((VLOOKUP(Type,Vehicles[],2+USC?,0))+$A27-SQRT($A27^2-VLOOKUP(Type,Vehicles[],8+USC?,0)))+_C)+(_N-1)*(SQRT($A27^2+VLOOKUP(Type,Vehicles[],4+USC?,0)*(2*VLOOKUP(Type,Vehicles[],6+USC?,0)+VLOOKUP(Type,Vehicles[],4+USC?,0)))-$A27)+IF(USC?,1,0.1)*(H$6/SQRT($A27))-_N/2*_Wn,1),0),""))</f>
        <v/>
      </c>
      <c r="I27" s="4" t="str">
        <f ca="1">IF($A27&lt;I$48,"",IFERROR(MAX(ROUND(_N*(((VLOOKUP(Type,Vehicles[],2+USC?,0))+$A27-SQRT($A27^2-VLOOKUP(Type,Vehicles[],8+USC?,0)))+_C)+(_N-1)*(SQRT($A27^2+VLOOKUP(Type,Vehicles[],4+USC?,0)*(2*VLOOKUP(Type,Vehicles[],6+USC?,0)+VLOOKUP(Type,Vehicles[],4+USC?,0)))-$A27)+IF(USC?,1,0.1)*(I$6/SQRT($A27))-_N/2*_Wn,1),0),""))</f>
        <v/>
      </c>
      <c r="J27" s="4" t="str">
        <f ca="1">IF($A27&lt;J$48,"",IFERROR(MAX(ROUND(_N*(((VLOOKUP(Type,Vehicles[],2+USC?,0))+$A27-SQRT($A27^2-VLOOKUP(Type,Vehicles[],8+USC?,0)))+_C)+(_N-1)*(SQRT($A27^2+VLOOKUP(Type,Vehicles[],4+USC?,0)*(2*VLOOKUP(Type,Vehicles[],6+USC?,0)+VLOOKUP(Type,Vehicles[],4+USC?,0)))-$A27)+IF(USC?,1,0.1)*(J$6/SQRT($A27))-_N/2*_Wn,1),0),""))</f>
        <v/>
      </c>
      <c r="K27" s="4" t="str">
        <f ca="1">IF($A27&lt;K$48,"",IFERROR(MAX(ROUND(_N*(((VLOOKUP(Type,Vehicles[],2+USC?,0))+$A27-SQRT($A27^2-VLOOKUP(Type,Vehicles[],8+USC?,0)))+_C)+(_N-1)*(SQRT($A27^2+VLOOKUP(Type,Vehicles[],4+USC?,0)*(2*VLOOKUP(Type,Vehicles[],6+USC?,0)+VLOOKUP(Type,Vehicles[],4+USC?,0)))-$A27)+IF(USC?,1,0.1)*(K$6/SQRT($A27))-_N/2*_Wn,1),0),""))</f>
        <v/>
      </c>
      <c r="L27" s="4" t="str">
        <f ca="1">IF($A27&lt;L$48,"",IFERROR(MAX(ROUND(_N*(((VLOOKUP(Type,Vehicles[],2+USC?,0))+$A27-SQRT($A27^2-VLOOKUP(Type,Vehicles[],8+USC?,0)))+_C)+(_N-1)*(SQRT($A27^2+VLOOKUP(Type,Vehicles[],4+USC?,0)*(2*VLOOKUP(Type,Vehicles[],6+USC?,0)+VLOOKUP(Type,Vehicles[],4+USC?,0)))-$A27)+IF(USC?,1,0.1)*(L$6/SQRT($A27))-_N/2*_Wn,1),0),""))</f>
        <v/>
      </c>
      <c r="M27" s="4" t="str">
        <f ca="1">IF($A27&lt;M$48,"",IFERROR(MAX(ROUND(_N*(((VLOOKUP(Type,Vehicles[],2+USC?,0))+$A27-SQRT($A27^2-VLOOKUP(Type,Vehicles[],8+USC?,0)))+_C)+(_N-1)*(SQRT($A27^2+VLOOKUP(Type,Vehicles[],4+USC?,0)*(2*VLOOKUP(Type,Vehicles[],6+USC?,0)+VLOOKUP(Type,Vehicles[],4+USC?,0)))-$A27)+IF(USC?,1,0.1)*(M$6/SQRT($A27))-_N/2*_Wn,1),0),""))</f>
        <v/>
      </c>
      <c r="N27" s="4" t="str">
        <f ca="1">IF($A27&lt;N$48,"",IFERROR(MAX(ROUND(_N*(((VLOOKUP(Type,Vehicles[],2+USC?,0))+$A27-SQRT($A27^2-VLOOKUP(Type,Vehicles[],8+USC?,0)))+_C)+(_N-1)*(SQRT($A27^2+VLOOKUP(Type,Vehicles[],4+USC?,0)*(2*VLOOKUP(Type,Vehicles[],6+USC?,0)+VLOOKUP(Type,Vehicles[],4+USC?,0)))-$A27)+IF(USC?,1,0.1)*(N$6/SQRT($A27))-_N/2*_Wn,1),0),""))</f>
        <v/>
      </c>
      <c r="O27" s="4" t="str">
        <f ca="1">IF($A27&lt;O$48,"",IFERROR(MAX(ROUND(_N*(((VLOOKUP(Type,Vehicles[],2+USC?,0))+$A27-SQRT($A27^2-VLOOKUP(Type,Vehicles[],8+USC?,0)))+_C)+(_N-1)*(SQRT($A27^2+VLOOKUP(Type,Vehicles[],4+USC?,0)*(2*VLOOKUP(Type,Vehicles[],6+USC?,0)+VLOOKUP(Type,Vehicles[],4+USC?,0)))-$A27)+IF(USC?,1,0.1)*(O$6/SQRT($A27))-_N/2*_Wn,1),0),""))</f>
        <v/>
      </c>
      <c r="P27" s="4" t="str">
        <f ca="1">IF($A27&lt;P$48,"",IFERROR(MAX(ROUND(_N*(((VLOOKUP(Type,Vehicles[],2+USC?,0))+$A27-SQRT($A27^2-VLOOKUP(Type,Vehicles[],8+USC?,0)))+_C)+(_N-1)*(SQRT($A27^2+VLOOKUP(Type,Vehicles[],4+USC?,0)*(2*VLOOKUP(Type,Vehicles[],6+USC?,0)+VLOOKUP(Type,Vehicles[],4+USC?,0)))-$A27)+IF(USC?,1,0.1)*(P$6/SQRT($A27))-_N/2*_Wn,1),0),""))</f>
        <v/>
      </c>
    </row>
    <row r="28" spans="1:16" x14ac:dyDescent="0.2">
      <c r="A28" s="22">
        <f ca="1">IFERROR(INDEX(Radius.List[Radius],ROW(A28)-ROW(A$6)-1+IF(LEN(Max.Radius)&gt;0,MATCH(Max.Radius,Radius.List[Radius],0)-1,IFERROR(MATCH(IF(USC?,1.6,0.5),Radius.List[Widening],1)-1,0))),"")</f>
        <v>100</v>
      </c>
      <c r="B28" s="4">
        <f ca="1">IF($A28&lt;B$48,"",IFERROR(MAX(ROUND(_N*(((VLOOKUP(Type,Vehicles[],2+USC?,0))+$A28-SQRT($A28^2-VLOOKUP(Type,Vehicles[],8+USC?,0)))+_C)+(_N-1)*(SQRT($A28^2+VLOOKUP(Type,Vehicles[],4+USC?,0)*(2*VLOOKUP(Type,Vehicles[],6+USC?,0)+VLOOKUP(Type,Vehicles[],4+USC?,0)))-$A28)+IF(USC?,1,0.1)*(B$6/SQRT($A28))-_N/2*_Wn,1),0),""))</f>
        <v>8.6999999999999993</v>
      </c>
      <c r="C28" s="4">
        <f ca="1">IF($A28&lt;C$48,"",IFERROR(MAX(ROUND(_N*(((VLOOKUP(Type,Vehicles[],2+USC?,0))+$A28-SQRT($A28^2-VLOOKUP(Type,Vehicles[],8+USC?,0)))+_C)+(_N-1)*(SQRT($A28^2+VLOOKUP(Type,Vehicles[],4+USC?,0)*(2*VLOOKUP(Type,Vehicles[],6+USC?,0)+VLOOKUP(Type,Vehicles[],4+USC?,0)))-$A28)+IF(USC?,1,0.1)*(C$6/SQRT($A28))-_N/2*_Wn,1),0),""))</f>
        <v>9.1999999999999993</v>
      </c>
      <c r="D28" s="4">
        <f ca="1">IF($A28&lt;D$48,"",IFERROR(MAX(ROUND(_N*(((VLOOKUP(Type,Vehicles[],2+USC?,0))+$A28-SQRT($A28^2-VLOOKUP(Type,Vehicles[],8+USC?,0)))+_C)+(_N-1)*(SQRT($A28^2+VLOOKUP(Type,Vehicles[],4+USC?,0)*(2*VLOOKUP(Type,Vehicles[],6+USC?,0)+VLOOKUP(Type,Vehicles[],4+USC?,0)))-$A28)+IF(USC?,1,0.1)*(D$6/SQRT($A28))-_N/2*_Wn,1),0),""))</f>
        <v>9.6999999999999993</v>
      </c>
      <c r="E28" s="4" t="str">
        <f ca="1">IF($A28&lt;E$48,"",IFERROR(MAX(ROUND(_N*(((VLOOKUP(Type,Vehicles[],2+USC?,0))+$A28-SQRT($A28^2-VLOOKUP(Type,Vehicles[],8+USC?,0)))+_C)+(_N-1)*(SQRT($A28^2+VLOOKUP(Type,Vehicles[],4+USC?,0)*(2*VLOOKUP(Type,Vehicles[],6+USC?,0)+VLOOKUP(Type,Vehicles[],4+USC?,0)))-$A28)+IF(USC?,1,0.1)*(E$6/SQRT($A28))-_N/2*_Wn,1),0),""))</f>
        <v/>
      </c>
      <c r="F28" s="4" t="str">
        <f ca="1">IF($A28&lt;F$48,"",IFERROR(MAX(ROUND(_N*(((VLOOKUP(Type,Vehicles[],2+USC?,0))+$A28-SQRT($A28^2-VLOOKUP(Type,Vehicles[],8+USC?,0)))+_C)+(_N-1)*(SQRT($A28^2+VLOOKUP(Type,Vehicles[],4+USC?,0)*(2*VLOOKUP(Type,Vehicles[],6+USC?,0)+VLOOKUP(Type,Vehicles[],4+USC?,0)))-$A28)+IF(USC?,1,0.1)*(F$6/SQRT($A28))-_N/2*_Wn,1),0),""))</f>
        <v/>
      </c>
      <c r="G28" s="4" t="str">
        <f ca="1">IF($A28&lt;G$48,"",IFERROR(MAX(ROUND(_N*(((VLOOKUP(Type,Vehicles[],2+USC?,0))+$A28-SQRT($A28^2-VLOOKUP(Type,Vehicles[],8+USC?,0)))+_C)+(_N-1)*(SQRT($A28^2+VLOOKUP(Type,Vehicles[],4+USC?,0)*(2*VLOOKUP(Type,Vehicles[],6+USC?,0)+VLOOKUP(Type,Vehicles[],4+USC?,0)))-$A28)+IF(USC?,1,0.1)*(G$6/SQRT($A28))-_N/2*_Wn,1),0),""))</f>
        <v/>
      </c>
      <c r="H28" s="4" t="str">
        <f ca="1">IF($A28&lt;H$48,"",IFERROR(MAX(ROUND(_N*(((VLOOKUP(Type,Vehicles[],2+USC?,0))+$A28-SQRT($A28^2-VLOOKUP(Type,Vehicles[],8+USC?,0)))+_C)+(_N-1)*(SQRT($A28^2+VLOOKUP(Type,Vehicles[],4+USC?,0)*(2*VLOOKUP(Type,Vehicles[],6+USC?,0)+VLOOKUP(Type,Vehicles[],4+USC?,0)))-$A28)+IF(USC?,1,0.1)*(H$6/SQRT($A28))-_N/2*_Wn,1),0),""))</f>
        <v/>
      </c>
      <c r="I28" s="4" t="str">
        <f ca="1">IF($A28&lt;I$48,"",IFERROR(MAX(ROUND(_N*(((VLOOKUP(Type,Vehicles[],2+USC?,0))+$A28-SQRT($A28^2-VLOOKUP(Type,Vehicles[],8+USC?,0)))+_C)+(_N-1)*(SQRT($A28^2+VLOOKUP(Type,Vehicles[],4+USC?,0)*(2*VLOOKUP(Type,Vehicles[],6+USC?,0)+VLOOKUP(Type,Vehicles[],4+USC?,0)))-$A28)+IF(USC?,1,0.1)*(I$6/SQRT($A28))-_N/2*_Wn,1),0),""))</f>
        <v/>
      </c>
      <c r="J28" s="4" t="str">
        <f ca="1">IF($A28&lt;J$48,"",IFERROR(MAX(ROUND(_N*(((VLOOKUP(Type,Vehicles[],2+USC?,0))+$A28-SQRT($A28^2-VLOOKUP(Type,Vehicles[],8+USC?,0)))+_C)+(_N-1)*(SQRT($A28^2+VLOOKUP(Type,Vehicles[],4+USC?,0)*(2*VLOOKUP(Type,Vehicles[],6+USC?,0)+VLOOKUP(Type,Vehicles[],4+USC?,0)))-$A28)+IF(USC?,1,0.1)*(J$6/SQRT($A28))-_N/2*_Wn,1),0),""))</f>
        <v/>
      </c>
      <c r="K28" s="4" t="str">
        <f ca="1">IF($A28&lt;K$48,"",IFERROR(MAX(ROUND(_N*(((VLOOKUP(Type,Vehicles[],2+USC?,0))+$A28-SQRT($A28^2-VLOOKUP(Type,Vehicles[],8+USC?,0)))+_C)+(_N-1)*(SQRT($A28^2+VLOOKUP(Type,Vehicles[],4+USC?,0)*(2*VLOOKUP(Type,Vehicles[],6+USC?,0)+VLOOKUP(Type,Vehicles[],4+USC?,0)))-$A28)+IF(USC?,1,0.1)*(K$6/SQRT($A28))-_N/2*_Wn,1),0),""))</f>
        <v/>
      </c>
      <c r="L28" s="4" t="str">
        <f ca="1">IF($A28&lt;L$48,"",IFERROR(MAX(ROUND(_N*(((VLOOKUP(Type,Vehicles[],2+USC?,0))+$A28-SQRT($A28^2-VLOOKUP(Type,Vehicles[],8+USC?,0)))+_C)+(_N-1)*(SQRT($A28^2+VLOOKUP(Type,Vehicles[],4+USC?,0)*(2*VLOOKUP(Type,Vehicles[],6+USC?,0)+VLOOKUP(Type,Vehicles[],4+USC?,0)))-$A28)+IF(USC?,1,0.1)*(L$6/SQRT($A28))-_N/2*_Wn,1),0),""))</f>
        <v/>
      </c>
      <c r="M28" s="4" t="str">
        <f ca="1">IF($A28&lt;M$48,"",IFERROR(MAX(ROUND(_N*(((VLOOKUP(Type,Vehicles[],2+USC?,0))+$A28-SQRT($A28^2-VLOOKUP(Type,Vehicles[],8+USC?,0)))+_C)+(_N-1)*(SQRT($A28^2+VLOOKUP(Type,Vehicles[],4+USC?,0)*(2*VLOOKUP(Type,Vehicles[],6+USC?,0)+VLOOKUP(Type,Vehicles[],4+USC?,0)))-$A28)+IF(USC?,1,0.1)*(M$6/SQRT($A28))-_N/2*_Wn,1),0),""))</f>
        <v/>
      </c>
      <c r="N28" s="4" t="str">
        <f ca="1">IF($A28&lt;N$48,"",IFERROR(MAX(ROUND(_N*(((VLOOKUP(Type,Vehicles[],2+USC?,0))+$A28-SQRT($A28^2-VLOOKUP(Type,Vehicles[],8+USC?,0)))+_C)+(_N-1)*(SQRT($A28^2+VLOOKUP(Type,Vehicles[],4+USC?,0)*(2*VLOOKUP(Type,Vehicles[],6+USC?,0)+VLOOKUP(Type,Vehicles[],4+USC?,0)))-$A28)+IF(USC?,1,0.1)*(N$6/SQRT($A28))-_N/2*_Wn,1),0),""))</f>
        <v/>
      </c>
      <c r="O28" s="4" t="str">
        <f ca="1">IF($A28&lt;O$48,"",IFERROR(MAX(ROUND(_N*(((VLOOKUP(Type,Vehicles[],2+USC?,0))+$A28-SQRT($A28^2-VLOOKUP(Type,Vehicles[],8+USC?,0)))+_C)+(_N-1)*(SQRT($A28^2+VLOOKUP(Type,Vehicles[],4+USC?,0)*(2*VLOOKUP(Type,Vehicles[],6+USC?,0)+VLOOKUP(Type,Vehicles[],4+USC?,0)))-$A28)+IF(USC?,1,0.1)*(O$6/SQRT($A28))-_N/2*_Wn,1),0),""))</f>
        <v/>
      </c>
      <c r="P28" s="4" t="str">
        <f ca="1">IF($A28&lt;P$48,"",IFERROR(MAX(ROUND(_N*(((VLOOKUP(Type,Vehicles[],2+USC?,0))+$A28-SQRT($A28^2-VLOOKUP(Type,Vehicles[],8+USC?,0)))+_C)+(_N-1)*(SQRT($A28^2+VLOOKUP(Type,Vehicles[],4+USC?,0)*(2*VLOOKUP(Type,Vehicles[],6+USC?,0)+VLOOKUP(Type,Vehicles[],4+USC?,0)))-$A28)+IF(USC?,1,0.1)*(P$6/SQRT($A28))-_N/2*_Wn,1),0),""))</f>
        <v/>
      </c>
    </row>
    <row r="29" spans="1:16" x14ac:dyDescent="0.2">
      <c r="A29" s="22">
        <f ca="1">IFERROR(INDEX(Radius.List[Radius],ROW(A29)-ROW(A$6)-1+IF(LEN(Max.Radius)&gt;0,MATCH(Max.Radius,Radius.List[Radius],0)-1,IFERROR(MATCH(IF(USC?,1.6,0.5),Radius.List[Widening],1)-1,0))),"")</f>
        <v>90</v>
      </c>
      <c r="B29" s="4">
        <f ca="1">IF($A29&lt;B$48,"",IFERROR(MAX(ROUND(_N*(((VLOOKUP(Type,Vehicles[],2+USC?,0))+$A29-SQRT($A29^2-VLOOKUP(Type,Vehicles[],8+USC?,0)))+_C)+(_N-1)*(SQRT($A29^2+VLOOKUP(Type,Vehicles[],4+USC?,0)*(2*VLOOKUP(Type,Vehicles[],6+USC?,0)+VLOOKUP(Type,Vehicles[],4+USC?,0)))-$A29)+IF(USC?,1,0.1)*(B$6/SQRT($A29))-_N/2*_Wn,1),0),""))</f>
        <v>9.6999999999999993</v>
      </c>
      <c r="C29" s="4">
        <f ca="1">IF($A29&lt;C$48,"",IFERROR(MAX(ROUND(_N*(((VLOOKUP(Type,Vehicles[],2+USC?,0))+$A29-SQRT($A29^2-VLOOKUP(Type,Vehicles[],8+USC?,0)))+_C)+(_N-1)*(SQRT($A29^2+VLOOKUP(Type,Vehicles[],4+USC?,0)*(2*VLOOKUP(Type,Vehicles[],6+USC?,0)+VLOOKUP(Type,Vehicles[],4+USC?,0)))-$A29)+IF(USC?,1,0.1)*(C$6/SQRT($A29))-_N/2*_Wn,1),0),""))</f>
        <v>10.199999999999999</v>
      </c>
      <c r="D29" s="4">
        <f ca="1">IF($A29&lt;D$48,"",IFERROR(MAX(ROUND(_N*(((VLOOKUP(Type,Vehicles[],2+USC?,0))+$A29-SQRT($A29^2-VLOOKUP(Type,Vehicles[],8+USC?,0)))+_C)+(_N-1)*(SQRT($A29^2+VLOOKUP(Type,Vehicles[],4+USC?,0)*(2*VLOOKUP(Type,Vehicles[],6+USC?,0)+VLOOKUP(Type,Vehicles[],4+USC?,0)))-$A29)+IF(USC?,1,0.1)*(D$6/SQRT($A29))-_N/2*_Wn,1),0),""))</f>
        <v>10.8</v>
      </c>
      <c r="E29" s="4" t="str">
        <f ca="1">IF($A29&lt;E$48,"",IFERROR(MAX(ROUND(_N*(((VLOOKUP(Type,Vehicles[],2+USC?,0))+$A29-SQRT($A29^2-VLOOKUP(Type,Vehicles[],8+USC?,0)))+_C)+(_N-1)*(SQRT($A29^2+VLOOKUP(Type,Vehicles[],4+USC?,0)*(2*VLOOKUP(Type,Vehicles[],6+USC?,0)+VLOOKUP(Type,Vehicles[],4+USC?,0)))-$A29)+IF(USC?,1,0.1)*(E$6/SQRT($A29))-_N/2*_Wn,1),0),""))</f>
        <v/>
      </c>
      <c r="F29" s="4" t="str">
        <f ca="1">IF($A29&lt;F$48,"",IFERROR(MAX(ROUND(_N*(((VLOOKUP(Type,Vehicles[],2+USC?,0))+$A29-SQRT($A29^2-VLOOKUP(Type,Vehicles[],8+USC?,0)))+_C)+(_N-1)*(SQRT($A29^2+VLOOKUP(Type,Vehicles[],4+USC?,0)*(2*VLOOKUP(Type,Vehicles[],6+USC?,0)+VLOOKUP(Type,Vehicles[],4+USC?,0)))-$A29)+IF(USC?,1,0.1)*(F$6/SQRT($A29))-_N/2*_Wn,1),0),""))</f>
        <v/>
      </c>
      <c r="G29" s="4" t="str">
        <f ca="1">IF($A29&lt;G$48,"",IFERROR(MAX(ROUND(_N*(((VLOOKUP(Type,Vehicles[],2+USC?,0))+$A29-SQRT($A29^2-VLOOKUP(Type,Vehicles[],8+USC?,0)))+_C)+(_N-1)*(SQRT($A29^2+VLOOKUP(Type,Vehicles[],4+USC?,0)*(2*VLOOKUP(Type,Vehicles[],6+USC?,0)+VLOOKUP(Type,Vehicles[],4+USC?,0)))-$A29)+IF(USC?,1,0.1)*(G$6/SQRT($A29))-_N/2*_Wn,1),0),""))</f>
        <v/>
      </c>
      <c r="H29" s="4" t="str">
        <f ca="1">IF($A29&lt;H$48,"",IFERROR(MAX(ROUND(_N*(((VLOOKUP(Type,Vehicles[],2+USC?,0))+$A29-SQRT($A29^2-VLOOKUP(Type,Vehicles[],8+USC?,0)))+_C)+(_N-1)*(SQRT($A29^2+VLOOKUP(Type,Vehicles[],4+USC?,0)*(2*VLOOKUP(Type,Vehicles[],6+USC?,0)+VLOOKUP(Type,Vehicles[],4+USC?,0)))-$A29)+IF(USC?,1,0.1)*(H$6/SQRT($A29))-_N/2*_Wn,1),0),""))</f>
        <v/>
      </c>
      <c r="I29" s="4" t="str">
        <f ca="1">IF($A29&lt;I$48,"",IFERROR(MAX(ROUND(_N*(((VLOOKUP(Type,Vehicles[],2+USC?,0))+$A29-SQRT($A29^2-VLOOKUP(Type,Vehicles[],8+USC?,0)))+_C)+(_N-1)*(SQRT($A29^2+VLOOKUP(Type,Vehicles[],4+USC?,0)*(2*VLOOKUP(Type,Vehicles[],6+USC?,0)+VLOOKUP(Type,Vehicles[],4+USC?,0)))-$A29)+IF(USC?,1,0.1)*(I$6/SQRT($A29))-_N/2*_Wn,1),0),""))</f>
        <v/>
      </c>
      <c r="J29" s="4" t="str">
        <f ca="1">IF($A29&lt;J$48,"",IFERROR(MAX(ROUND(_N*(((VLOOKUP(Type,Vehicles[],2+USC?,0))+$A29-SQRT($A29^2-VLOOKUP(Type,Vehicles[],8+USC?,0)))+_C)+(_N-1)*(SQRT($A29^2+VLOOKUP(Type,Vehicles[],4+USC?,0)*(2*VLOOKUP(Type,Vehicles[],6+USC?,0)+VLOOKUP(Type,Vehicles[],4+USC?,0)))-$A29)+IF(USC?,1,0.1)*(J$6/SQRT($A29))-_N/2*_Wn,1),0),""))</f>
        <v/>
      </c>
      <c r="K29" s="4" t="str">
        <f ca="1">IF($A29&lt;K$48,"",IFERROR(MAX(ROUND(_N*(((VLOOKUP(Type,Vehicles[],2+USC?,0))+$A29-SQRT($A29^2-VLOOKUP(Type,Vehicles[],8+USC?,0)))+_C)+(_N-1)*(SQRT($A29^2+VLOOKUP(Type,Vehicles[],4+USC?,0)*(2*VLOOKUP(Type,Vehicles[],6+USC?,0)+VLOOKUP(Type,Vehicles[],4+USC?,0)))-$A29)+IF(USC?,1,0.1)*(K$6/SQRT($A29))-_N/2*_Wn,1),0),""))</f>
        <v/>
      </c>
      <c r="L29" s="4" t="str">
        <f ca="1">IF($A29&lt;L$48,"",IFERROR(MAX(ROUND(_N*(((VLOOKUP(Type,Vehicles[],2+USC?,0))+$A29-SQRT($A29^2-VLOOKUP(Type,Vehicles[],8+USC?,0)))+_C)+(_N-1)*(SQRT($A29^2+VLOOKUP(Type,Vehicles[],4+USC?,0)*(2*VLOOKUP(Type,Vehicles[],6+USC?,0)+VLOOKUP(Type,Vehicles[],4+USC?,0)))-$A29)+IF(USC?,1,0.1)*(L$6/SQRT($A29))-_N/2*_Wn,1),0),""))</f>
        <v/>
      </c>
      <c r="M29" s="4" t="str">
        <f ca="1">IF($A29&lt;M$48,"",IFERROR(MAX(ROUND(_N*(((VLOOKUP(Type,Vehicles[],2+USC?,0))+$A29-SQRT($A29^2-VLOOKUP(Type,Vehicles[],8+USC?,0)))+_C)+(_N-1)*(SQRT($A29^2+VLOOKUP(Type,Vehicles[],4+USC?,0)*(2*VLOOKUP(Type,Vehicles[],6+USC?,0)+VLOOKUP(Type,Vehicles[],4+USC?,0)))-$A29)+IF(USC?,1,0.1)*(M$6/SQRT($A29))-_N/2*_Wn,1),0),""))</f>
        <v/>
      </c>
      <c r="N29" s="4" t="str">
        <f ca="1">IF($A29&lt;N$48,"",IFERROR(MAX(ROUND(_N*(((VLOOKUP(Type,Vehicles[],2+USC?,0))+$A29-SQRT($A29^2-VLOOKUP(Type,Vehicles[],8+USC?,0)))+_C)+(_N-1)*(SQRT($A29^2+VLOOKUP(Type,Vehicles[],4+USC?,0)*(2*VLOOKUP(Type,Vehicles[],6+USC?,0)+VLOOKUP(Type,Vehicles[],4+USC?,0)))-$A29)+IF(USC?,1,0.1)*(N$6/SQRT($A29))-_N/2*_Wn,1),0),""))</f>
        <v/>
      </c>
      <c r="O29" s="4" t="str">
        <f ca="1">IF($A29&lt;O$48,"",IFERROR(MAX(ROUND(_N*(((VLOOKUP(Type,Vehicles[],2+USC?,0))+$A29-SQRT($A29^2-VLOOKUP(Type,Vehicles[],8+USC?,0)))+_C)+(_N-1)*(SQRT($A29^2+VLOOKUP(Type,Vehicles[],4+USC?,0)*(2*VLOOKUP(Type,Vehicles[],6+USC?,0)+VLOOKUP(Type,Vehicles[],4+USC?,0)))-$A29)+IF(USC?,1,0.1)*(O$6/SQRT($A29))-_N/2*_Wn,1),0),""))</f>
        <v/>
      </c>
      <c r="P29" s="4" t="str">
        <f ca="1">IF($A29&lt;P$48,"",IFERROR(MAX(ROUND(_N*(((VLOOKUP(Type,Vehicles[],2+USC?,0))+$A29-SQRT($A29^2-VLOOKUP(Type,Vehicles[],8+USC?,0)))+_C)+(_N-1)*(SQRT($A29^2+VLOOKUP(Type,Vehicles[],4+USC?,0)*(2*VLOOKUP(Type,Vehicles[],6+USC?,0)+VLOOKUP(Type,Vehicles[],4+USC?,0)))-$A29)+IF(USC?,1,0.1)*(P$6/SQRT($A29))-_N/2*_Wn,1),0),""))</f>
        <v/>
      </c>
    </row>
    <row r="30" spans="1:16" x14ac:dyDescent="0.2">
      <c r="A30" s="22">
        <f ca="1">IFERROR(INDEX(Radius.List[Radius],ROW(A30)-ROW(A$6)-1+IF(LEN(Max.Radius)&gt;0,MATCH(Max.Radius,Radius.List[Radius],0)-1,IFERROR(MATCH(IF(USC?,1.6,0.5),Radius.List[Widening],1)-1,0))),"")</f>
        <v>80</v>
      </c>
      <c r="B30" s="4">
        <f ca="1">IF($A30&lt;B$48,"",IFERROR(MAX(ROUND(_N*(((VLOOKUP(Type,Vehicles[],2+USC?,0))+$A30-SQRT($A30^2-VLOOKUP(Type,Vehicles[],8+USC?,0)))+_C)+(_N-1)*(SQRT($A30^2+VLOOKUP(Type,Vehicles[],4+USC?,0)*(2*VLOOKUP(Type,Vehicles[],6+USC?,0)+VLOOKUP(Type,Vehicles[],4+USC?,0)))-$A30)+IF(USC?,1,0.1)*(B$6/SQRT($A30))-_N/2*_Wn,1),0),""))</f>
        <v>11.1</v>
      </c>
      <c r="C30" s="4">
        <f ca="1">IF($A30&lt;C$48,"",IFERROR(MAX(ROUND(_N*(((VLOOKUP(Type,Vehicles[],2+USC?,0))+$A30-SQRT($A30^2-VLOOKUP(Type,Vehicles[],8+USC?,0)))+_C)+(_N-1)*(SQRT($A30^2+VLOOKUP(Type,Vehicles[],4+USC?,0)*(2*VLOOKUP(Type,Vehicles[],6+USC?,0)+VLOOKUP(Type,Vehicles[],4+USC?,0)))-$A30)+IF(USC?,1,0.1)*(C$6/SQRT($A30))-_N/2*_Wn,1),0),""))</f>
        <v>11.6</v>
      </c>
      <c r="D30" s="4">
        <f ca="1">IF($A30&lt;D$48,"",IFERROR(MAX(ROUND(_N*(((VLOOKUP(Type,Vehicles[],2+USC?,0))+$A30-SQRT($A30^2-VLOOKUP(Type,Vehicles[],8+USC?,0)))+_C)+(_N-1)*(SQRT($A30^2+VLOOKUP(Type,Vehicles[],4+USC?,0)*(2*VLOOKUP(Type,Vehicles[],6+USC?,0)+VLOOKUP(Type,Vehicles[],4+USC?,0)))-$A30)+IF(USC?,1,0.1)*(D$6/SQRT($A30))-_N/2*_Wn,1),0),""))</f>
        <v>12.2</v>
      </c>
      <c r="E30" s="4" t="str">
        <f ca="1">IF($A30&lt;E$48,"",IFERROR(MAX(ROUND(_N*(((VLOOKUP(Type,Vehicles[],2+USC?,0))+$A30-SQRT($A30^2-VLOOKUP(Type,Vehicles[],8+USC?,0)))+_C)+(_N-1)*(SQRT($A30^2+VLOOKUP(Type,Vehicles[],4+USC?,0)*(2*VLOOKUP(Type,Vehicles[],6+USC?,0)+VLOOKUP(Type,Vehicles[],4+USC?,0)))-$A30)+IF(USC?,1,0.1)*(E$6/SQRT($A30))-_N/2*_Wn,1),0),""))</f>
        <v/>
      </c>
      <c r="F30" s="4" t="str">
        <f ca="1">IF($A30&lt;F$48,"",IFERROR(MAX(ROUND(_N*(((VLOOKUP(Type,Vehicles[],2+USC?,0))+$A30-SQRT($A30^2-VLOOKUP(Type,Vehicles[],8+USC?,0)))+_C)+(_N-1)*(SQRT($A30^2+VLOOKUP(Type,Vehicles[],4+USC?,0)*(2*VLOOKUP(Type,Vehicles[],6+USC?,0)+VLOOKUP(Type,Vehicles[],4+USC?,0)))-$A30)+IF(USC?,1,0.1)*(F$6/SQRT($A30))-_N/2*_Wn,1),0),""))</f>
        <v/>
      </c>
      <c r="G30" s="4" t="str">
        <f ca="1">IF($A30&lt;G$48,"",IFERROR(MAX(ROUND(_N*(((VLOOKUP(Type,Vehicles[],2+USC?,0))+$A30-SQRT($A30^2-VLOOKUP(Type,Vehicles[],8+USC?,0)))+_C)+(_N-1)*(SQRT($A30^2+VLOOKUP(Type,Vehicles[],4+USC?,0)*(2*VLOOKUP(Type,Vehicles[],6+USC?,0)+VLOOKUP(Type,Vehicles[],4+USC?,0)))-$A30)+IF(USC?,1,0.1)*(G$6/SQRT($A30))-_N/2*_Wn,1),0),""))</f>
        <v/>
      </c>
      <c r="H30" s="4" t="str">
        <f ca="1">IF($A30&lt;H$48,"",IFERROR(MAX(ROUND(_N*(((VLOOKUP(Type,Vehicles[],2+USC?,0))+$A30-SQRT($A30^2-VLOOKUP(Type,Vehicles[],8+USC?,0)))+_C)+(_N-1)*(SQRT($A30^2+VLOOKUP(Type,Vehicles[],4+USC?,0)*(2*VLOOKUP(Type,Vehicles[],6+USC?,0)+VLOOKUP(Type,Vehicles[],4+USC?,0)))-$A30)+IF(USC?,1,0.1)*(H$6/SQRT($A30))-_N/2*_Wn,1),0),""))</f>
        <v/>
      </c>
      <c r="I30" s="4" t="str">
        <f ca="1">IF($A30&lt;I$48,"",IFERROR(MAX(ROUND(_N*(((VLOOKUP(Type,Vehicles[],2+USC?,0))+$A30-SQRT($A30^2-VLOOKUP(Type,Vehicles[],8+USC?,0)))+_C)+(_N-1)*(SQRT($A30^2+VLOOKUP(Type,Vehicles[],4+USC?,0)*(2*VLOOKUP(Type,Vehicles[],6+USC?,0)+VLOOKUP(Type,Vehicles[],4+USC?,0)))-$A30)+IF(USC?,1,0.1)*(I$6/SQRT($A30))-_N/2*_Wn,1),0),""))</f>
        <v/>
      </c>
      <c r="J30" s="4" t="str">
        <f ca="1">IF($A30&lt;J$48,"",IFERROR(MAX(ROUND(_N*(((VLOOKUP(Type,Vehicles[],2+USC?,0))+$A30-SQRT($A30^2-VLOOKUP(Type,Vehicles[],8+USC?,0)))+_C)+(_N-1)*(SQRT($A30^2+VLOOKUP(Type,Vehicles[],4+USC?,0)*(2*VLOOKUP(Type,Vehicles[],6+USC?,0)+VLOOKUP(Type,Vehicles[],4+USC?,0)))-$A30)+IF(USC?,1,0.1)*(J$6/SQRT($A30))-_N/2*_Wn,1),0),""))</f>
        <v/>
      </c>
      <c r="K30" s="4" t="str">
        <f ca="1">IF($A30&lt;K$48,"",IFERROR(MAX(ROUND(_N*(((VLOOKUP(Type,Vehicles[],2+USC?,0))+$A30-SQRT($A30^2-VLOOKUP(Type,Vehicles[],8+USC?,0)))+_C)+(_N-1)*(SQRT($A30^2+VLOOKUP(Type,Vehicles[],4+USC?,0)*(2*VLOOKUP(Type,Vehicles[],6+USC?,0)+VLOOKUP(Type,Vehicles[],4+USC?,0)))-$A30)+IF(USC?,1,0.1)*(K$6/SQRT($A30))-_N/2*_Wn,1),0),""))</f>
        <v/>
      </c>
      <c r="L30" s="4" t="str">
        <f ca="1">IF($A30&lt;L$48,"",IFERROR(MAX(ROUND(_N*(((VLOOKUP(Type,Vehicles[],2+USC?,0))+$A30-SQRT($A30^2-VLOOKUP(Type,Vehicles[],8+USC?,0)))+_C)+(_N-1)*(SQRT($A30^2+VLOOKUP(Type,Vehicles[],4+USC?,0)*(2*VLOOKUP(Type,Vehicles[],6+USC?,0)+VLOOKUP(Type,Vehicles[],4+USC?,0)))-$A30)+IF(USC?,1,0.1)*(L$6/SQRT($A30))-_N/2*_Wn,1),0),""))</f>
        <v/>
      </c>
      <c r="M30" s="4" t="str">
        <f ca="1">IF($A30&lt;M$48,"",IFERROR(MAX(ROUND(_N*(((VLOOKUP(Type,Vehicles[],2+USC?,0))+$A30-SQRT($A30^2-VLOOKUP(Type,Vehicles[],8+USC?,0)))+_C)+(_N-1)*(SQRT($A30^2+VLOOKUP(Type,Vehicles[],4+USC?,0)*(2*VLOOKUP(Type,Vehicles[],6+USC?,0)+VLOOKUP(Type,Vehicles[],4+USC?,0)))-$A30)+IF(USC?,1,0.1)*(M$6/SQRT($A30))-_N/2*_Wn,1),0),""))</f>
        <v/>
      </c>
      <c r="N30" s="4" t="str">
        <f ca="1">IF($A30&lt;N$48,"",IFERROR(MAX(ROUND(_N*(((VLOOKUP(Type,Vehicles[],2+USC?,0))+$A30-SQRT($A30^2-VLOOKUP(Type,Vehicles[],8+USC?,0)))+_C)+(_N-1)*(SQRT($A30^2+VLOOKUP(Type,Vehicles[],4+USC?,0)*(2*VLOOKUP(Type,Vehicles[],6+USC?,0)+VLOOKUP(Type,Vehicles[],4+USC?,0)))-$A30)+IF(USC?,1,0.1)*(N$6/SQRT($A30))-_N/2*_Wn,1),0),""))</f>
        <v/>
      </c>
      <c r="O30" s="4" t="str">
        <f ca="1">IF($A30&lt;O$48,"",IFERROR(MAX(ROUND(_N*(((VLOOKUP(Type,Vehicles[],2+USC?,0))+$A30-SQRT($A30^2-VLOOKUP(Type,Vehicles[],8+USC?,0)))+_C)+(_N-1)*(SQRT($A30^2+VLOOKUP(Type,Vehicles[],4+USC?,0)*(2*VLOOKUP(Type,Vehicles[],6+USC?,0)+VLOOKUP(Type,Vehicles[],4+USC?,0)))-$A30)+IF(USC?,1,0.1)*(O$6/SQRT($A30))-_N/2*_Wn,1),0),""))</f>
        <v/>
      </c>
      <c r="P30" s="4" t="str">
        <f ca="1">IF($A30&lt;P$48,"",IFERROR(MAX(ROUND(_N*(((VLOOKUP(Type,Vehicles[],2+USC?,0))+$A30-SQRT($A30^2-VLOOKUP(Type,Vehicles[],8+USC?,0)))+_C)+(_N-1)*(SQRT($A30^2+VLOOKUP(Type,Vehicles[],4+USC?,0)*(2*VLOOKUP(Type,Vehicles[],6+USC?,0)+VLOOKUP(Type,Vehicles[],4+USC?,0)))-$A30)+IF(USC?,1,0.1)*(P$6/SQRT($A30))-_N/2*_Wn,1),0),""))</f>
        <v/>
      </c>
    </row>
    <row r="31" spans="1:16" x14ac:dyDescent="0.2">
      <c r="A31" s="22">
        <f ca="1">IFERROR(INDEX(Radius.List[Radius],ROW(A31)-ROW(A$6)-1+IF(LEN(Max.Radius)&gt;0,MATCH(Max.Radius,Radius.List[Radius],0)-1,IFERROR(MATCH(IF(USC?,1.6,0.5),Radius.List[Widening],1)-1,0))),"")</f>
        <v>70</v>
      </c>
      <c r="B31" s="4">
        <f ca="1">IF($A31&lt;B$48,"",IFERROR(MAX(ROUND(_N*(((VLOOKUP(Type,Vehicles[],2+USC?,0))+$A31-SQRT($A31^2-VLOOKUP(Type,Vehicles[],8+USC?,0)))+_C)+(_N-1)*(SQRT($A31^2+VLOOKUP(Type,Vehicles[],4+USC?,0)*(2*VLOOKUP(Type,Vehicles[],6+USC?,0)+VLOOKUP(Type,Vehicles[],4+USC?,0)))-$A31)+IF(USC?,1,0.1)*(B$6/SQRT($A31))-_N/2*_Wn,1),0),""))</f>
        <v>12.8</v>
      </c>
      <c r="C31" s="4">
        <f ca="1">IF($A31&lt;C$48,"",IFERROR(MAX(ROUND(_N*(((VLOOKUP(Type,Vehicles[],2+USC?,0))+$A31-SQRT($A31^2-VLOOKUP(Type,Vehicles[],8+USC?,0)))+_C)+(_N-1)*(SQRT($A31^2+VLOOKUP(Type,Vehicles[],4+USC?,0)*(2*VLOOKUP(Type,Vehicles[],6+USC?,0)+VLOOKUP(Type,Vehicles[],4+USC?,0)))-$A31)+IF(USC?,1,0.1)*(C$6/SQRT($A31))-_N/2*_Wn,1),0),""))</f>
        <v>13.4</v>
      </c>
      <c r="D31" s="4">
        <f ca="1">IF($A31&lt;D$48,"",IFERROR(MAX(ROUND(_N*(((VLOOKUP(Type,Vehicles[],2+USC?,0))+$A31-SQRT($A31^2-VLOOKUP(Type,Vehicles[],8+USC?,0)))+_C)+(_N-1)*(SQRT($A31^2+VLOOKUP(Type,Vehicles[],4+USC?,0)*(2*VLOOKUP(Type,Vehicles[],6+USC?,0)+VLOOKUP(Type,Vehicles[],4+USC?,0)))-$A31)+IF(USC?,1,0.1)*(D$6/SQRT($A31))-_N/2*_Wn,1),0),""))</f>
        <v>14</v>
      </c>
      <c r="E31" s="4" t="str">
        <f ca="1">IF($A31&lt;E$48,"",IFERROR(MAX(ROUND(_N*(((VLOOKUP(Type,Vehicles[],2+USC?,0))+$A31-SQRT($A31^2-VLOOKUP(Type,Vehicles[],8+USC?,0)))+_C)+(_N-1)*(SQRT($A31^2+VLOOKUP(Type,Vehicles[],4+USC?,0)*(2*VLOOKUP(Type,Vehicles[],6+USC?,0)+VLOOKUP(Type,Vehicles[],4+USC?,0)))-$A31)+IF(USC?,1,0.1)*(E$6/SQRT($A31))-_N/2*_Wn,1),0),""))</f>
        <v/>
      </c>
      <c r="F31" s="4" t="str">
        <f ca="1">IF($A31&lt;F$48,"",IFERROR(MAX(ROUND(_N*(((VLOOKUP(Type,Vehicles[],2+USC?,0))+$A31-SQRT($A31^2-VLOOKUP(Type,Vehicles[],8+USC?,0)))+_C)+(_N-1)*(SQRT($A31^2+VLOOKUP(Type,Vehicles[],4+USC?,0)*(2*VLOOKUP(Type,Vehicles[],6+USC?,0)+VLOOKUP(Type,Vehicles[],4+USC?,0)))-$A31)+IF(USC?,1,0.1)*(F$6/SQRT($A31))-_N/2*_Wn,1),0),""))</f>
        <v/>
      </c>
      <c r="G31" s="4" t="str">
        <f ca="1">IF($A31&lt;G$48,"",IFERROR(MAX(ROUND(_N*(((VLOOKUP(Type,Vehicles[],2+USC?,0))+$A31-SQRT($A31^2-VLOOKUP(Type,Vehicles[],8+USC?,0)))+_C)+(_N-1)*(SQRT($A31^2+VLOOKUP(Type,Vehicles[],4+USC?,0)*(2*VLOOKUP(Type,Vehicles[],6+USC?,0)+VLOOKUP(Type,Vehicles[],4+USC?,0)))-$A31)+IF(USC?,1,0.1)*(G$6/SQRT($A31))-_N/2*_Wn,1),0),""))</f>
        <v/>
      </c>
      <c r="H31" s="4" t="str">
        <f ca="1">IF($A31&lt;H$48,"",IFERROR(MAX(ROUND(_N*(((VLOOKUP(Type,Vehicles[],2+USC?,0))+$A31-SQRT($A31^2-VLOOKUP(Type,Vehicles[],8+USC?,0)))+_C)+(_N-1)*(SQRT($A31^2+VLOOKUP(Type,Vehicles[],4+USC?,0)*(2*VLOOKUP(Type,Vehicles[],6+USC?,0)+VLOOKUP(Type,Vehicles[],4+USC?,0)))-$A31)+IF(USC?,1,0.1)*(H$6/SQRT($A31))-_N/2*_Wn,1),0),""))</f>
        <v/>
      </c>
      <c r="I31" s="4" t="str">
        <f ca="1">IF($A31&lt;I$48,"",IFERROR(MAX(ROUND(_N*(((VLOOKUP(Type,Vehicles[],2+USC?,0))+$A31-SQRT($A31^2-VLOOKUP(Type,Vehicles[],8+USC?,0)))+_C)+(_N-1)*(SQRT($A31^2+VLOOKUP(Type,Vehicles[],4+USC?,0)*(2*VLOOKUP(Type,Vehicles[],6+USC?,0)+VLOOKUP(Type,Vehicles[],4+USC?,0)))-$A31)+IF(USC?,1,0.1)*(I$6/SQRT($A31))-_N/2*_Wn,1),0),""))</f>
        <v/>
      </c>
      <c r="J31" s="4" t="str">
        <f ca="1">IF($A31&lt;J$48,"",IFERROR(MAX(ROUND(_N*(((VLOOKUP(Type,Vehicles[],2+USC?,0))+$A31-SQRT($A31^2-VLOOKUP(Type,Vehicles[],8+USC?,0)))+_C)+(_N-1)*(SQRT($A31^2+VLOOKUP(Type,Vehicles[],4+USC?,0)*(2*VLOOKUP(Type,Vehicles[],6+USC?,0)+VLOOKUP(Type,Vehicles[],4+USC?,0)))-$A31)+IF(USC?,1,0.1)*(J$6/SQRT($A31))-_N/2*_Wn,1),0),""))</f>
        <v/>
      </c>
      <c r="K31" s="4" t="str">
        <f ca="1">IF($A31&lt;K$48,"",IFERROR(MAX(ROUND(_N*(((VLOOKUP(Type,Vehicles[],2+USC?,0))+$A31-SQRT($A31^2-VLOOKUP(Type,Vehicles[],8+USC?,0)))+_C)+(_N-1)*(SQRT($A31^2+VLOOKUP(Type,Vehicles[],4+USC?,0)*(2*VLOOKUP(Type,Vehicles[],6+USC?,0)+VLOOKUP(Type,Vehicles[],4+USC?,0)))-$A31)+IF(USC?,1,0.1)*(K$6/SQRT($A31))-_N/2*_Wn,1),0),""))</f>
        <v/>
      </c>
      <c r="L31" s="4" t="str">
        <f ca="1">IF($A31&lt;L$48,"",IFERROR(MAX(ROUND(_N*(((VLOOKUP(Type,Vehicles[],2+USC?,0))+$A31-SQRT($A31^2-VLOOKUP(Type,Vehicles[],8+USC?,0)))+_C)+(_N-1)*(SQRT($A31^2+VLOOKUP(Type,Vehicles[],4+USC?,0)*(2*VLOOKUP(Type,Vehicles[],6+USC?,0)+VLOOKUP(Type,Vehicles[],4+USC?,0)))-$A31)+IF(USC?,1,0.1)*(L$6/SQRT($A31))-_N/2*_Wn,1),0),""))</f>
        <v/>
      </c>
      <c r="M31" s="4" t="str">
        <f ca="1">IF($A31&lt;M$48,"",IFERROR(MAX(ROUND(_N*(((VLOOKUP(Type,Vehicles[],2+USC?,0))+$A31-SQRT($A31^2-VLOOKUP(Type,Vehicles[],8+USC?,0)))+_C)+(_N-1)*(SQRT($A31^2+VLOOKUP(Type,Vehicles[],4+USC?,0)*(2*VLOOKUP(Type,Vehicles[],6+USC?,0)+VLOOKUP(Type,Vehicles[],4+USC?,0)))-$A31)+IF(USC?,1,0.1)*(M$6/SQRT($A31))-_N/2*_Wn,1),0),""))</f>
        <v/>
      </c>
      <c r="N31" s="4" t="str">
        <f ca="1">IF($A31&lt;N$48,"",IFERROR(MAX(ROUND(_N*(((VLOOKUP(Type,Vehicles[],2+USC?,0))+$A31-SQRT($A31^2-VLOOKUP(Type,Vehicles[],8+USC?,0)))+_C)+(_N-1)*(SQRT($A31^2+VLOOKUP(Type,Vehicles[],4+USC?,0)*(2*VLOOKUP(Type,Vehicles[],6+USC?,0)+VLOOKUP(Type,Vehicles[],4+USC?,0)))-$A31)+IF(USC?,1,0.1)*(N$6/SQRT($A31))-_N/2*_Wn,1),0),""))</f>
        <v/>
      </c>
      <c r="O31" s="4" t="str">
        <f ca="1">IF($A31&lt;O$48,"",IFERROR(MAX(ROUND(_N*(((VLOOKUP(Type,Vehicles[],2+USC?,0))+$A31-SQRT($A31^2-VLOOKUP(Type,Vehicles[],8+USC?,0)))+_C)+(_N-1)*(SQRT($A31^2+VLOOKUP(Type,Vehicles[],4+USC?,0)*(2*VLOOKUP(Type,Vehicles[],6+USC?,0)+VLOOKUP(Type,Vehicles[],4+USC?,0)))-$A31)+IF(USC?,1,0.1)*(O$6/SQRT($A31))-_N/2*_Wn,1),0),""))</f>
        <v/>
      </c>
      <c r="P31" s="4" t="str">
        <f ca="1">IF($A31&lt;P$48,"",IFERROR(MAX(ROUND(_N*(((VLOOKUP(Type,Vehicles[],2+USC?,0))+$A31-SQRT($A31^2-VLOOKUP(Type,Vehicles[],8+USC?,0)))+_C)+(_N-1)*(SQRT($A31^2+VLOOKUP(Type,Vehicles[],4+USC?,0)*(2*VLOOKUP(Type,Vehicles[],6+USC?,0)+VLOOKUP(Type,Vehicles[],4+USC?,0)))-$A31)+IF(USC?,1,0.1)*(P$6/SQRT($A31))-_N/2*_Wn,1),0),""))</f>
        <v/>
      </c>
    </row>
    <row r="32" spans="1:16" x14ac:dyDescent="0.2">
      <c r="A32" s="22">
        <f ca="1">IFERROR(INDEX(Radius.List[Radius],ROW(A32)-ROW(A$6)-1+IF(LEN(Max.Radius)&gt;0,MATCH(Max.Radius,Radius.List[Radius],0)-1,IFERROR(MATCH(IF(USC?,1.6,0.5),Radius.List[Widening],1)-1,0))),"")</f>
        <v>60</v>
      </c>
      <c r="B32" s="4">
        <f ca="1">IF($A32&lt;B$48,"",IFERROR(MAX(ROUND(_N*(((VLOOKUP(Type,Vehicles[],2+USC?,0))+$A32-SQRT($A32^2-VLOOKUP(Type,Vehicles[],8+USC?,0)))+_C)+(_N-1)*(SQRT($A32^2+VLOOKUP(Type,Vehicles[],4+USC?,0)*(2*VLOOKUP(Type,Vehicles[],6+USC?,0)+VLOOKUP(Type,Vehicles[],4+USC?,0)))-$A32)+IF(USC?,1,0.1)*(B$6/SQRT($A32))-_N/2*_Wn,1),0),""))</f>
        <v>15.3</v>
      </c>
      <c r="C32" s="4">
        <f ca="1">IF($A32&lt;C$48,"",IFERROR(MAX(ROUND(_N*(((VLOOKUP(Type,Vehicles[],2+USC?,0))+$A32-SQRT($A32^2-VLOOKUP(Type,Vehicles[],8+USC?,0)))+_C)+(_N-1)*(SQRT($A32^2+VLOOKUP(Type,Vehicles[],4+USC?,0)*(2*VLOOKUP(Type,Vehicles[],6+USC?,0)+VLOOKUP(Type,Vehicles[],4+USC?,0)))-$A32)+IF(USC?,1,0.1)*(C$6/SQRT($A32))-_N/2*_Wn,1),0),""))</f>
        <v>15.9</v>
      </c>
      <c r="D32" s="4" t="str">
        <f ca="1">IF($A32&lt;D$48,"",IFERROR(MAX(ROUND(_N*(((VLOOKUP(Type,Vehicles[],2+USC?,0))+$A32-SQRT($A32^2-VLOOKUP(Type,Vehicles[],8+USC?,0)))+_C)+(_N-1)*(SQRT($A32^2+VLOOKUP(Type,Vehicles[],4+USC?,0)*(2*VLOOKUP(Type,Vehicles[],6+USC?,0)+VLOOKUP(Type,Vehicles[],4+USC?,0)))-$A32)+IF(USC?,1,0.1)*(D$6/SQRT($A32))-_N/2*_Wn,1),0),""))</f>
        <v/>
      </c>
      <c r="E32" s="4" t="str">
        <f ca="1">IF($A32&lt;E$48,"",IFERROR(MAX(ROUND(_N*(((VLOOKUP(Type,Vehicles[],2+USC?,0))+$A32-SQRT($A32^2-VLOOKUP(Type,Vehicles[],8+USC?,0)))+_C)+(_N-1)*(SQRT($A32^2+VLOOKUP(Type,Vehicles[],4+USC?,0)*(2*VLOOKUP(Type,Vehicles[],6+USC?,0)+VLOOKUP(Type,Vehicles[],4+USC?,0)))-$A32)+IF(USC?,1,0.1)*(E$6/SQRT($A32))-_N/2*_Wn,1),0),""))</f>
        <v/>
      </c>
      <c r="F32" s="4" t="str">
        <f ca="1">IF($A32&lt;F$48,"",IFERROR(MAX(ROUND(_N*(((VLOOKUP(Type,Vehicles[],2+USC?,0))+$A32-SQRT($A32^2-VLOOKUP(Type,Vehicles[],8+USC?,0)))+_C)+(_N-1)*(SQRT($A32^2+VLOOKUP(Type,Vehicles[],4+USC?,0)*(2*VLOOKUP(Type,Vehicles[],6+USC?,0)+VLOOKUP(Type,Vehicles[],4+USC?,0)))-$A32)+IF(USC?,1,0.1)*(F$6/SQRT($A32))-_N/2*_Wn,1),0),""))</f>
        <v/>
      </c>
      <c r="G32" s="4" t="str">
        <f ca="1">IF($A32&lt;G$48,"",IFERROR(MAX(ROUND(_N*(((VLOOKUP(Type,Vehicles[],2+USC?,0))+$A32-SQRT($A32^2-VLOOKUP(Type,Vehicles[],8+USC?,0)))+_C)+(_N-1)*(SQRT($A32^2+VLOOKUP(Type,Vehicles[],4+USC?,0)*(2*VLOOKUP(Type,Vehicles[],6+USC?,0)+VLOOKUP(Type,Vehicles[],4+USC?,0)))-$A32)+IF(USC?,1,0.1)*(G$6/SQRT($A32))-_N/2*_Wn,1),0),""))</f>
        <v/>
      </c>
      <c r="H32" s="4" t="str">
        <f ca="1">IF($A32&lt;H$48,"",IFERROR(MAX(ROUND(_N*(((VLOOKUP(Type,Vehicles[],2+USC?,0))+$A32-SQRT($A32^2-VLOOKUP(Type,Vehicles[],8+USC?,0)))+_C)+(_N-1)*(SQRT($A32^2+VLOOKUP(Type,Vehicles[],4+USC?,0)*(2*VLOOKUP(Type,Vehicles[],6+USC?,0)+VLOOKUP(Type,Vehicles[],4+USC?,0)))-$A32)+IF(USC?,1,0.1)*(H$6/SQRT($A32))-_N/2*_Wn,1),0),""))</f>
        <v/>
      </c>
      <c r="I32" s="4" t="str">
        <f ca="1">IF($A32&lt;I$48,"",IFERROR(MAX(ROUND(_N*(((VLOOKUP(Type,Vehicles[],2+USC?,0))+$A32-SQRT($A32^2-VLOOKUP(Type,Vehicles[],8+USC?,0)))+_C)+(_N-1)*(SQRT($A32^2+VLOOKUP(Type,Vehicles[],4+USC?,0)*(2*VLOOKUP(Type,Vehicles[],6+USC?,0)+VLOOKUP(Type,Vehicles[],4+USC?,0)))-$A32)+IF(USC?,1,0.1)*(I$6/SQRT($A32))-_N/2*_Wn,1),0),""))</f>
        <v/>
      </c>
      <c r="J32" s="4" t="str">
        <f ca="1">IF($A32&lt;J$48,"",IFERROR(MAX(ROUND(_N*(((VLOOKUP(Type,Vehicles[],2+USC?,0))+$A32-SQRT($A32^2-VLOOKUP(Type,Vehicles[],8+USC?,0)))+_C)+(_N-1)*(SQRT($A32^2+VLOOKUP(Type,Vehicles[],4+USC?,0)*(2*VLOOKUP(Type,Vehicles[],6+USC?,0)+VLOOKUP(Type,Vehicles[],4+USC?,0)))-$A32)+IF(USC?,1,0.1)*(J$6/SQRT($A32))-_N/2*_Wn,1),0),""))</f>
        <v/>
      </c>
      <c r="K32" s="4" t="str">
        <f ca="1">IF($A32&lt;K$48,"",IFERROR(MAX(ROUND(_N*(((VLOOKUP(Type,Vehicles[],2+USC?,0))+$A32-SQRT($A32^2-VLOOKUP(Type,Vehicles[],8+USC?,0)))+_C)+(_N-1)*(SQRT($A32^2+VLOOKUP(Type,Vehicles[],4+USC?,0)*(2*VLOOKUP(Type,Vehicles[],6+USC?,0)+VLOOKUP(Type,Vehicles[],4+USC?,0)))-$A32)+IF(USC?,1,0.1)*(K$6/SQRT($A32))-_N/2*_Wn,1),0),""))</f>
        <v/>
      </c>
      <c r="L32" s="4" t="str">
        <f ca="1">IF($A32&lt;L$48,"",IFERROR(MAX(ROUND(_N*(((VLOOKUP(Type,Vehicles[],2+USC?,0))+$A32-SQRT($A32^2-VLOOKUP(Type,Vehicles[],8+USC?,0)))+_C)+(_N-1)*(SQRT($A32^2+VLOOKUP(Type,Vehicles[],4+USC?,0)*(2*VLOOKUP(Type,Vehicles[],6+USC?,0)+VLOOKUP(Type,Vehicles[],4+USC?,0)))-$A32)+IF(USC?,1,0.1)*(L$6/SQRT($A32))-_N/2*_Wn,1),0),""))</f>
        <v/>
      </c>
      <c r="M32" s="4" t="str">
        <f ca="1">IF($A32&lt;M$48,"",IFERROR(MAX(ROUND(_N*(((VLOOKUP(Type,Vehicles[],2+USC?,0))+$A32-SQRT($A32^2-VLOOKUP(Type,Vehicles[],8+USC?,0)))+_C)+(_N-1)*(SQRT($A32^2+VLOOKUP(Type,Vehicles[],4+USC?,0)*(2*VLOOKUP(Type,Vehicles[],6+USC?,0)+VLOOKUP(Type,Vehicles[],4+USC?,0)))-$A32)+IF(USC?,1,0.1)*(M$6/SQRT($A32))-_N/2*_Wn,1),0),""))</f>
        <v/>
      </c>
      <c r="N32" s="4" t="str">
        <f ca="1">IF($A32&lt;N$48,"",IFERROR(MAX(ROUND(_N*(((VLOOKUP(Type,Vehicles[],2+USC?,0))+$A32-SQRT($A32^2-VLOOKUP(Type,Vehicles[],8+USC?,0)))+_C)+(_N-1)*(SQRT($A32^2+VLOOKUP(Type,Vehicles[],4+USC?,0)*(2*VLOOKUP(Type,Vehicles[],6+USC?,0)+VLOOKUP(Type,Vehicles[],4+USC?,0)))-$A32)+IF(USC?,1,0.1)*(N$6/SQRT($A32))-_N/2*_Wn,1),0),""))</f>
        <v/>
      </c>
      <c r="O32" s="4" t="str">
        <f ca="1">IF($A32&lt;O$48,"",IFERROR(MAX(ROUND(_N*(((VLOOKUP(Type,Vehicles[],2+USC?,0))+$A32-SQRT($A32^2-VLOOKUP(Type,Vehicles[],8+USC?,0)))+_C)+(_N-1)*(SQRT($A32^2+VLOOKUP(Type,Vehicles[],4+USC?,0)*(2*VLOOKUP(Type,Vehicles[],6+USC?,0)+VLOOKUP(Type,Vehicles[],4+USC?,0)))-$A32)+IF(USC?,1,0.1)*(O$6/SQRT($A32))-_N/2*_Wn,1),0),""))</f>
        <v/>
      </c>
      <c r="P32" s="4" t="str">
        <f ca="1">IF($A32&lt;P$48,"",IFERROR(MAX(ROUND(_N*(((VLOOKUP(Type,Vehicles[],2+USC?,0))+$A32-SQRT($A32^2-VLOOKUP(Type,Vehicles[],8+USC?,0)))+_C)+(_N-1)*(SQRT($A32^2+VLOOKUP(Type,Vehicles[],4+USC?,0)*(2*VLOOKUP(Type,Vehicles[],6+USC?,0)+VLOOKUP(Type,Vehicles[],4+USC?,0)))-$A32)+IF(USC?,1,0.1)*(P$6/SQRT($A32))-_N/2*_Wn,1),0),""))</f>
        <v/>
      </c>
    </row>
    <row r="33" spans="1:16" x14ac:dyDescent="0.2">
      <c r="A33" s="22">
        <f ca="1">IFERROR(INDEX(Radius.List[Radius],ROW(A33)-ROW(A$6)-1+IF(LEN(Max.Radius)&gt;0,MATCH(Max.Radius,Radius.List[Radius],0)-1,IFERROR(MATCH(IF(USC?,1.6,0.5),Radius.List[Widening],1)-1,0))),"")</f>
        <v>50</v>
      </c>
      <c r="B33" s="4">
        <f ca="1">IF($A33&lt;B$48,"",IFERROR(MAX(ROUND(_N*(((VLOOKUP(Type,Vehicles[],2+USC?,0))+$A33-SQRT($A33^2-VLOOKUP(Type,Vehicles[],8+USC?,0)))+_C)+(_N-1)*(SQRT($A33^2+VLOOKUP(Type,Vehicles[],4+USC?,0)*(2*VLOOKUP(Type,Vehicles[],6+USC?,0)+VLOOKUP(Type,Vehicles[],4+USC?,0)))-$A33)+IF(USC?,1,0.1)*(B$6/SQRT($A33))-_N/2*_Wn,1),0),""))</f>
        <v>18.899999999999999</v>
      </c>
      <c r="C33" s="4">
        <f ca="1">IF($A33&lt;C$48,"",IFERROR(MAX(ROUND(_N*(((VLOOKUP(Type,Vehicles[],2+USC?,0))+$A33-SQRT($A33^2-VLOOKUP(Type,Vehicles[],8+USC?,0)))+_C)+(_N-1)*(SQRT($A33^2+VLOOKUP(Type,Vehicles[],4+USC?,0)*(2*VLOOKUP(Type,Vehicles[],6+USC?,0)+VLOOKUP(Type,Vehicles[],4+USC?,0)))-$A33)+IF(USC?,1,0.1)*(C$6/SQRT($A33))-_N/2*_Wn,1),0),""))</f>
        <v>19.7</v>
      </c>
      <c r="D33" s="4" t="str">
        <f ca="1">IF($A33&lt;D$48,"",IFERROR(MAX(ROUND(_N*(((VLOOKUP(Type,Vehicles[],2+USC?,0))+$A33-SQRT($A33^2-VLOOKUP(Type,Vehicles[],8+USC?,0)))+_C)+(_N-1)*(SQRT($A33^2+VLOOKUP(Type,Vehicles[],4+USC?,0)*(2*VLOOKUP(Type,Vehicles[],6+USC?,0)+VLOOKUP(Type,Vehicles[],4+USC?,0)))-$A33)+IF(USC?,1,0.1)*(D$6/SQRT($A33))-_N/2*_Wn,1),0),""))</f>
        <v/>
      </c>
      <c r="E33" s="4" t="str">
        <f ca="1">IF($A33&lt;E$48,"",IFERROR(MAX(ROUND(_N*(((VLOOKUP(Type,Vehicles[],2+USC?,0))+$A33-SQRT($A33^2-VLOOKUP(Type,Vehicles[],8+USC?,0)))+_C)+(_N-1)*(SQRT($A33^2+VLOOKUP(Type,Vehicles[],4+USC?,0)*(2*VLOOKUP(Type,Vehicles[],6+USC?,0)+VLOOKUP(Type,Vehicles[],4+USC?,0)))-$A33)+IF(USC?,1,0.1)*(E$6/SQRT($A33))-_N/2*_Wn,1),0),""))</f>
        <v/>
      </c>
      <c r="F33" s="4" t="str">
        <f ca="1">IF($A33&lt;F$48,"",IFERROR(MAX(ROUND(_N*(((VLOOKUP(Type,Vehicles[],2+USC?,0))+$A33-SQRT($A33^2-VLOOKUP(Type,Vehicles[],8+USC?,0)))+_C)+(_N-1)*(SQRT($A33^2+VLOOKUP(Type,Vehicles[],4+USC?,0)*(2*VLOOKUP(Type,Vehicles[],6+USC?,0)+VLOOKUP(Type,Vehicles[],4+USC?,0)))-$A33)+IF(USC?,1,0.1)*(F$6/SQRT($A33))-_N/2*_Wn,1),0),""))</f>
        <v/>
      </c>
      <c r="G33" s="4" t="str">
        <f ca="1">IF($A33&lt;G$48,"",IFERROR(MAX(ROUND(_N*(((VLOOKUP(Type,Vehicles[],2+USC?,0))+$A33-SQRT($A33^2-VLOOKUP(Type,Vehicles[],8+USC?,0)))+_C)+(_N-1)*(SQRT($A33^2+VLOOKUP(Type,Vehicles[],4+USC?,0)*(2*VLOOKUP(Type,Vehicles[],6+USC?,0)+VLOOKUP(Type,Vehicles[],4+USC?,0)))-$A33)+IF(USC?,1,0.1)*(G$6/SQRT($A33))-_N/2*_Wn,1),0),""))</f>
        <v/>
      </c>
      <c r="H33" s="4" t="str">
        <f ca="1">IF($A33&lt;H$48,"",IFERROR(MAX(ROUND(_N*(((VLOOKUP(Type,Vehicles[],2+USC?,0))+$A33-SQRT($A33^2-VLOOKUP(Type,Vehicles[],8+USC?,0)))+_C)+(_N-1)*(SQRT($A33^2+VLOOKUP(Type,Vehicles[],4+USC?,0)*(2*VLOOKUP(Type,Vehicles[],6+USC?,0)+VLOOKUP(Type,Vehicles[],4+USC?,0)))-$A33)+IF(USC?,1,0.1)*(H$6/SQRT($A33))-_N/2*_Wn,1),0),""))</f>
        <v/>
      </c>
      <c r="I33" s="4" t="str">
        <f ca="1">IF($A33&lt;I$48,"",IFERROR(MAX(ROUND(_N*(((VLOOKUP(Type,Vehicles[],2+USC?,0))+$A33-SQRT($A33^2-VLOOKUP(Type,Vehicles[],8+USC?,0)))+_C)+(_N-1)*(SQRT($A33^2+VLOOKUP(Type,Vehicles[],4+USC?,0)*(2*VLOOKUP(Type,Vehicles[],6+USC?,0)+VLOOKUP(Type,Vehicles[],4+USC?,0)))-$A33)+IF(USC?,1,0.1)*(I$6/SQRT($A33))-_N/2*_Wn,1),0),""))</f>
        <v/>
      </c>
      <c r="J33" s="4" t="str">
        <f ca="1">IF($A33&lt;J$48,"",IFERROR(MAX(ROUND(_N*(((VLOOKUP(Type,Vehicles[],2+USC?,0))+$A33-SQRT($A33^2-VLOOKUP(Type,Vehicles[],8+USC?,0)))+_C)+(_N-1)*(SQRT($A33^2+VLOOKUP(Type,Vehicles[],4+USC?,0)*(2*VLOOKUP(Type,Vehicles[],6+USC?,0)+VLOOKUP(Type,Vehicles[],4+USC?,0)))-$A33)+IF(USC?,1,0.1)*(J$6/SQRT($A33))-_N/2*_Wn,1),0),""))</f>
        <v/>
      </c>
      <c r="K33" s="4" t="str">
        <f ca="1">IF($A33&lt;K$48,"",IFERROR(MAX(ROUND(_N*(((VLOOKUP(Type,Vehicles[],2+USC?,0))+$A33-SQRT($A33^2-VLOOKUP(Type,Vehicles[],8+USC?,0)))+_C)+(_N-1)*(SQRT($A33^2+VLOOKUP(Type,Vehicles[],4+USC?,0)*(2*VLOOKUP(Type,Vehicles[],6+USC?,0)+VLOOKUP(Type,Vehicles[],4+USC?,0)))-$A33)+IF(USC?,1,0.1)*(K$6/SQRT($A33))-_N/2*_Wn,1),0),""))</f>
        <v/>
      </c>
      <c r="L33" s="4" t="str">
        <f ca="1">IF($A33&lt;L$48,"",IFERROR(MAX(ROUND(_N*(((VLOOKUP(Type,Vehicles[],2+USC?,0))+$A33-SQRT($A33^2-VLOOKUP(Type,Vehicles[],8+USC?,0)))+_C)+(_N-1)*(SQRT($A33^2+VLOOKUP(Type,Vehicles[],4+USC?,0)*(2*VLOOKUP(Type,Vehicles[],6+USC?,0)+VLOOKUP(Type,Vehicles[],4+USC?,0)))-$A33)+IF(USC?,1,0.1)*(L$6/SQRT($A33))-_N/2*_Wn,1),0),""))</f>
        <v/>
      </c>
      <c r="M33" s="4" t="str">
        <f ca="1">IF($A33&lt;M$48,"",IFERROR(MAX(ROUND(_N*(((VLOOKUP(Type,Vehicles[],2+USC?,0))+$A33-SQRT($A33^2-VLOOKUP(Type,Vehicles[],8+USC?,0)))+_C)+(_N-1)*(SQRT($A33^2+VLOOKUP(Type,Vehicles[],4+USC?,0)*(2*VLOOKUP(Type,Vehicles[],6+USC?,0)+VLOOKUP(Type,Vehicles[],4+USC?,0)))-$A33)+IF(USC?,1,0.1)*(M$6/SQRT($A33))-_N/2*_Wn,1),0),""))</f>
        <v/>
      </c>
      <c r="N33" s="4" t="str">
        <f ca="1">IF($A33&lt;N$48,"",IFERROR(MAX(ROUND(_N*(((VLOOKUP(Type,Vehicles[],2+USC?,0))+$A33-SQRT($A33^2-VLOOKUP(Type,Vehicles[],8+USC?,0)))+_C)+(_N-1)*(SQRT($A33^2+VLOOKUP(Type,Vehicles[],4+USC?,0)*(2*VLOOKUP(Type,Vehicles[],6+USC?,0)+VLOOKUP(Type,Vehicles[],4+USC?,0)))-$A33)+IF(USC?,1,0.1)*(N$6/SQRT($A33))-_N/2*_Wn,1),0),""))</f>
        <v/>
      </c>
      <c r="O33" s="4" t="str">
        <f ca="1">IF($A33&lt;O$48,"",IFERROR(MAX(ROUND(_N*(((VLOOKUP(Type,Vehicles[],2+USC?,0))+$A33-SQRT($A33^2-VLOOKUP(Type,Vehicles[],8+USC?,0)))+_C)+(_N-1)*(SQRT($A33^2+VLOOKUP(Type,Vehicles[],4+USC?,0)*(2*VLOOKUP(Type,Vehicles[],6+USC?,0)+VLOOKUP(Type,Vehicles[],4+USC?,0)))-$A33)+IF(USC?,1,0.1)*(O$6/SQRT($A33))-_N/2*_Wn,1),0),""))</f>
        <v/>
      </c>
      <c r="P33" s="4" t="str">
        <f ca="1">IF($A33&lt;P$48,"",IFERROR(MAX(ROUND(_N*(((VLOOKUP(Type,Vehicles[],2+USC?,0))+$A33-SQRT($A33^2-VLOOKUP(Type,Vehicles[],8+USC?,0)))+_C)+(_N-1)*(SQRT($A33^2+VLOOKUP(Type,Vehicles[],4+USC?,0)*(2*VLOOKUP(Type,Vehicles[],6+USC?,0)+VLOOKUP(Type,Vehicles[],4+USC?,0)))-$A33)+IF(USC?,1,0.1)*(P$6/SQRT($A33))-_N/2*_Wn,1),0),""))</f>
        <v/>
      </c>
    </row>
    <row r="34" spans="1:16" x14ac:dyDescent="0.2">
      <c r="A34" s="22">
        <f ca="1">IFERROR(INDEX(Radius.List[Radius],ROW(A34)-ROW(A$6)-1+IF(LEN(Max.Radius)&gt;0,MATCH(Max.Radius,Radius.List[Radius],0)-1,IFERROR(MATCH(IF(USC?,1.6,0.5),Radius.List[Widening],1)-1,0))),"")</f>
        <v>40</v>
      </c>
      <c r="B34" s="4">
        <f ca="1">IF($A34&lt;B$48,"",IFERROR(MAX(ROUND(_N*(((VLOOKUP(Type,Vehicles[],2+USC?,0))+$A34-SQRT($A34^2-VLOOKUP(Type,Vehicles[],8+USC?,0)))+_C)+(_N-1)*(SQRT($A34^2+VLOOKUP(Type,Vehicles[],4+USC?,0)*(2*VLOOKUP(Type,Vehicles[],6+USC?,0)+VLOOKUP(Type,Vehicles[],4+USC?,0)))-$A34)+IF(USC?,1,0.1)*(B$6/SQRT($A34))-_N/2*_Wn,1),0),""))</f>
        <v>25.3</v>
      </c>
      <c r="C34" s="4">
        <f ca="1">IF($A34&lt;C$48,"",IFERROR(MAX(ROUND(_N*(((VLOOKUP(Type,Vehicles[],2+USC?,0))+$A34-SQRT($A34^2-VLOOKUP(Type,Vehicles[],8+USC?,0)))+_C)+(_N-1)*(SQRT($A34^2+VLOOKUP(Type,Vehicles[],4+USC?,0)*(2*VLOOKUP(Type,Vehicles[],6+USC?,0)+VLOOKUP(Type,Vehicles[],4+USC?,0)))-$A34)+IF(USC?,1,0.1)*(C$6/SQRT($A34))-_N/2*_Wn,1),0),""))</f>
        <v>26.1</v>
      </c>
      <c r="D34" s="4" t="str">
        <f ca="1">IF($A34&lt;D$48,"",IFERROR(MAX(ROUND(_N*(((VLOOKUP(Type,Vehicles[],2+USC?,0))+$A34-SQRT($A34^2-VLOOKUP(Type,Vehicles[],8+USC?,0)))+_C)+(_N-1)*(SQRT($A34^2+VLOOKUP(Type,Vehicles[],4+USC?,0)*(2*VLOOKUP(Type,Vehicles[],6+USC?,0)+VLOOKUP(Type,Vehicles[],4+USC?,0)))-$A34)+IF(USC?,1,0.1)*(D$6/SQRT($A34))-_N/2*_Wn,1),0),""))</f>
        <v/>
      </c>
      <c r="E34" s="4" t="str">
        <f ca="1">IF($A34&lt;E$48,"",IFERROR(MAX(ROUND(_N*(((VLOOKUP(Type,Vehicles[],2+USC?,0))+$A34-SQRT($A34^2-VLOOKUP(Type,Vehicles[],8+USC?,0)))+_C)+(_N-1)*(SQRT($A34^2+VLOOKUP(Type,Vehicles[],4+USC?,0)*(2*VLOOKUP(Type,Vehicles[],6+USC?,0)+VLOOKUP(Type,Vehicles[],4+USC?,0)))-$A34)+IF(USC?,1,0.1)*(E$6/SQRT($A34))-_N/2*_Wn,1),0),""))</f>
        <v/>
      </c>
      <c r="F34" s="4" t="str">
        <f ca="1">IF($A34&lt;F$48,"",IFERROR(MAX(ROUND(_N*(((VLOOKUP(Type,Vehicles[],2+USC?,0))+$A34-SQRT($A34^2-VLOOKUP(Type,Vehicles[],8+USC?,0)))+_C)+(_N-1)*(SQRT($A34^2+VLOOKUP(Type,Vehicles[],4+USC?,0)*(2*VLOOKUP(Type,Vehicles[],6+USC?,0)+VLOOKUP(Type,Vehicles[],4+USC?,0)))-$A34)+IF(USC?,1,0.1)*(F$6/SQRT($A34))-_N/2*_Wn,1),0),""))</f>
        <v/>
      </c>
      <c r="G34" s="4" t="str">
        <f ca="1">IF($A34&lt;G$48,"",IFERROR(MAX(ROUND(_N*(((VLOOKUP(Type,Vehicles[],2+USC?,0))+$A34-SQRT($A34^2-VLOOKUP(Type,Vehicles[],8+USC?,0)))+_C)+(_N-1)*(SQRT($A34^2+VLOOKUP(Type,Vehicles[],4+USC?,0)*(2*VLOOKUP(Type,Vehicles[],6+USC?,0)+VLOOKUP(Type,Vehicles[],4+USC?,0)))-$A34)+IF(USC?,1,0.1)*(G$6/SQRT($A34))-_N/2*_Wn,1),0),""))</f>
        <v/>
      </c>
      <c r="H34" s="4" t="str">
        <f ca="1">IF($A34&lt;H$48,"",IFERROR(MAX(ROUND(_N*(((VLOOKUP(Type,Vehicles[],2+USC?,0))+$A34-SQRT($A34^2-VLOOKUP(Type,Vehicles[],8+USC?,0)))+_C)+(_N-1)*(SQRT($A34^2+VLOOKUP(Type,Vehicles[],4+USC?,0)*(2*VLOOKUP(Type,Vehicles[],6+USC?,0)+VLOOKUP(Type,Vehicles[],4+USC?,0)))-$A34)+IF(USC?,1,0.1)*(H$6/SQRT($A34))-_N/2*_Wn,1),0),""))</f>
        <v/>
      </c>
      <c r="I34" s="4" t="str">
        <f ca="1">IF($A34&lt;I$48,"",IFERROR(MAX(ROUND(_N*(((VLOOKUP(Type,Vehicles[],2+USC?,0))+$A34-SQRT($A34^2-VLOOKUP(Type,Vehicles[],8+USC?,0)))+_C)+(_N-1)*(SQRT($A34^2+VLOOKUP(Type,Vehicles[],4+USC?,0)*(2*VLOOKUP(Type,Vehicles[],6+USC?,0)+VLOOKUP(Type,Vehicles[],4+USC?,0)))-$A34)+IF(USC?,1,0.1)*(I$6/SQRT($A34))-_N/2*_Wn,1),0),""))</f>
        <v/>
      </c>
      <c r="J34" s="4" t="str">
        <f ca="1">IF($A34&lt;J$48,"",IFERROR(MAX(ROUND(_N*(((VLOOKUP(Type,Vehicles[],2+USC?,0))+$A34-SQRT($A34^2-VLOOKUP(Type,Vehicles[],8+USC?,0)))+_C)+(_N-1)*(SQRT($A34^2+VLOOKUP(Type,Vehicles[],4+USC?,0)*(2*VLOOKUP(Type,Vehicles[],6+USC?,0)+VLOOKUP(Type,Vehicles[],4+USC?,0)))-$A34)+IF(USC?,1,0.1)*(J$6/SQRT($A34))-_N/2*_Wn,1),0),""))</f>
        <v/>
      </c>
      <c r="K34" s="4" t="str">
        <f ca="1">IF($A34&lt;K$48,"",IFERROR(MAX(ROUND(_N*(((VLOOKUP(Type,Vehicles[],2+USC?,0))+$A34-SQRT($A34^2-VLOOKUP(Type,Vehicles[],8+USC?,0)))+_C)+(_N-1)*(SQRT($A34^2+VLOOKUP(Type,Vehicles[],4+USC?,0)*(2*VLOOKUP(Type,Vehicles[],6+USC?,0)+VLOOKUP(Type,Vehicles[],4+USC?,0)))-$A34)+IF(USC?,1,0.1)*(K$6/SQRT($A34))-_N/2*_Wn,1),0),""))</f>
        <v/>
      </c>
      <c r="L34" s="4" t="str">
        <f ca="1">IF($A34&lt;L$48,"",IFERROR(MAX(ROUND(_N*(((VLOOKUP(Type,Vehicles[],2+USC?,0))+$A34-SQRT($A34^2-VLOOKUP(Type,Vehicles[],8+USC?,0)))+_C)+(_N-1)*(SQRT($A34^2+VLOOKUP(Type,Vehicles[],4+USC?,0)*(2*VLOOKUP(Type,Vehicles[],6+USC?,0)+VLOOKUP(Type,Vehicles[],4+USC?,0)))-$A34)+IF(USC?,1,0.1)*(L$6/SQRT($A34))-_N/2*_Wn,1),0),""))</f>
        <v/>
      </c>
      <c r="M34" s="4" t="str">
        <f ca="1">IF($A34&lt;M$48,"",IFERROR(MAX(ROUND(_N*(((VLOOKUP(Type,Vehicles[],2+USC?,0))+$A34-SQRT($A34^2-VLOOKUP(Type,Vehicles[],8+USC?,0)))+_C)+(_N-1)*(SQRT($A34^2+VLOOKUP(Type,Vehicles[],4+USC?,0)*(2*VLOOKUP(Type,Vehicles[],6+USC?,0)+VLOOKUP(Type,Vehicles[],4+USC?,0)))-$A34)+IF(USC?,1,0.1)*(M$6/SQRT($A34))-_N/2*_Wn,1),0),""))</f>
        <v/>
      </c>
      <c r="N34" s="4" t="str">
        <f ca="1">IF($A34&lt;N$48,"",IFERROR(MAX(ROUND(_N*(((VLOOKUP(Type,Vehicles[],2+USC?,0))+$A34-SQRT($A34^2-VLOOKUP(Type,Vehicles[],8+USC?,0)))+_C)+(_N-1)*(SQRT($A34^2+VLOOKUP(Type,Vehicles[],4+USC?,0)*(2*VLOOKUP(Type,Vehicles[],6+USC?,0)+VLOOKUP(Type,Vehicles[],4+USC?,0)))-$A34)+IF(USC?,1,0.1)*(N$6/SQRT($A34))-_N/2*_Wn,1),0),""))</f>
        <v/>
      </c>
      <c r="O34" s="4" t="str">
        <f ca="1">IF($A34&lt;O$48,"",IFERROR(MAX(ROUND(_N*(((VLOOKUP(Type,Vehicles[],2+USC?,0))+$A34-SQRT($A34^2-VLOOKUP(Type,Vehicles[],8+USC?,0)))+_C)+(_N-1)*(SQRT($A34^2+VLOOKUP(Type,Vehicles[],4+USC?,0)*(2*VLOOKUP(Type,Vehicles[],6+USC?,0)+VLOOKUP(Type,Vehicles[],4+USC?,0)))-$A34)+IF(USC?,1,0.1)*(O$6/SQRT($A34))-_N/2*_Wn,1),0),""))</f>
        <v/>
      </c>
      <c r="P34" s="4" t="str">
        <f ca="1">IF($A34&lt;P$48,"",IFERROR(MAX(ROUND(_N*(((VLOOKUP(Type,Vehicles[],2+USC?,0))+$A34-SQRT($A34^2-VLOOKUP(Type,Vehicles[],8+USC?,0)))+_C)+(_N-1)*(SQRT($A34^2+VLOOKUP(Type,Vehicles[],4+USC?,0)*(2*VLOOKUP(Type,Vehicles[],6+USC?,0)+VLOOKUP(Type,Vehicles[],4+USC?,0)))-$A34)+IF(USC?,1,0.1)*(P$6/SQRT($A34))-_N/2*_Wn,1),0),""))</f>
        <v/>
      </c>
    </row>
    <row r="35" spans="1:16" x14ac:dyDescent="0.2">
      <c r="A35" s="22">
        <f ca="1">IFERROR(INDEX(Radius.List[Radius],ROW(A35)-ROW(A$6)-1+IF(LEN(Max.Radius)&gt;0,MATCH(Max.Radius,Radius.List[Radius],0)-1,IFERROR(MATCH(IF(USC?,1.6,0.5),Radius.List[Widening],1)-1,0))),"")</f>
        <v>30</v>
      </c>
      <c r="B35" s="4">
        <f ca="1">IF($A35&lt;B$48,"",IFERROR(MAX(ROUND(_N*(((VLOOKUP(Type,Vehicles[],2+USC?,0))+$A35-SQRT($A35^2-VLOOKUP(Type,Vehicles[],8+USC?,0)))+_C)+(_N-1)*(SQRT($A35^2+VLOOKUP(Type,Vehicles[],4+USC?,0)*(2*VLOOKUP(Type,Vehicles[],6+USC?,0)+VLOOKUP(Type,Vehicles[],4+USC?,0)))-$A35)+IF(USC?,1,0.1)*(B$6/SQRT($A35))-_N/2*_Wn,1),0),""))</f>
        <v>42.9</v>
      </c>
      <c r="C35" s="4" t="str">
        <f ca="1">IF($A35&lt;C$48,"",IFERROR(MAX(ROUND(_N*(((VLOOKUP(Type,Vehicles[],2+USC?,0))+$A35-SQRT($A35^2-VLOOKUP(Type,Vehicles[],8+USC?,0)))+_C)+(_N-1)*(SQRT($A35^2+VLOOKUP(Type,Vehicles[],4+USC?,0)*(2*VLOOKUP(Type,Vehicles[],6+USC?,0)+VLOOKUP(Type,Vehicles[],4+USC?,0)))-$A35)+IF(USC?,1,0.1)*(C$6/SQRT($A35))-_N/2*_Wn,1),0),""))</f>
        <v/>
      </c>
      <c r="D35" s="4" t="str">
        <f ca="1">IF($A35&lt;D$48,"",IFERROR(MAX(ROUND(_N*(((VLOOKUP(Type,Vehicles[],2+USC?,0))+$A35-SQRT($A35^2-VLOOKUP(Type,Vehicles[],8+USC?,0)))+_C)+(_N-1)*(SQRT($A35^2+VLOOKUP(Type,Vehicles[],4+USC?,0)*(2*VLOOKUP(Type,Vehicles[],6+USC?,0)+VLOOKUP(Type,Vehicles[],4+USC?,0)))-$A35)+IF(USC?,1,0.1)*(D$6/SQRT($A35))-_N/2*_Wn,1),0),""))</f>
        <v/>
      </c>
      <c r="E35" s="4" t="str">
        <f ca="1">IF($A35&lt;E$48,"",IFERROR(MAX(ROUND(_N*(((VLOOKUP(Type,Vehicles[],2+USC?,0))+$A35-SQRT($A35^2-VLOOKUP(Type,Vehicles[],8+USC?,0)))+_C)+(_N-1)*(SQRT($A35^2+VLOOKUP(Type,Vehicles[],4+USC?,0)*(2*VLOOKUP(Type,Vehicles[],6+USC?,0)+VLOOKUP(Type,Vehicles[],4+USC?,0)))-$A35)+IF(USC?,1,0.1)*(E$6/SQRT($A35))-_N/2*_Wn,1),0),""))</f>
        <v/>
      </c>
      <c r="F35" s="4" t="str">
        <f ca="1">IF($A35&lt;F$48,"",IFERROR(MAX(ROUND(_N*(((VLOOKUP(Type,Vehicles[],2+USC?,0))+$A35-SQRT($A35^2-VLOOKUP(Type,Vehicles[],8+USC?,0)))+_C)+(_N-1)*(SQRT($A35^2+VLOOKUP(Type,Vehicles[],4+USC?,0)*(2*VLOOKUP(Type,Vehicles[],6+USC?,0)+VLOOKUP(Type,Vehicles[],4+USC?,0)))-$A35)+IF(USC?,1,0.1)*(F$6/SQRT($A35))-_N/2*_Wn,1),0),""))</f>
        <v/>
      </c>
      <c r="G35" s="4" t="str">
        <f ca="1">IF($A35&lt;G$48,"",IFERROR(MAX(ROUND(_N*(((VLOOKUP(Type,Vehicles[],2+USC?,0))+$A35-SQRT($A35^2-VLOOKUP(Type,Vehicles[],8+USC?,0)))+_C)+(_N-1)*(SQRT($A35^2+VLOOKUP(Type,Vehicles[],4+USC?,0)*(2*VLOOKUP(Type,Vehicles[],6+USC?,0)+VLOOKUP(Type,Vehicles[],4+USC?,0)))-$A35)+IF(USC?,1,0.1)*(G$6/SQRT($A35))-_N/2*_Wn,1),0),""))</f>
        <v/>
      </c>
      <c r="H35" s="4" t="str">
        <f ca="1">IF($A35&lt;H$48,"",IFERROR(MAX(ROUND(_N*(((VLOOKUP(Type,Vehicles[],2+USC?,0))+$A35-SQRT($A35^2-VLOOKUP(Type,Vehicles[],8+USC?,0)))+_C)+(_N-1)*(SQRT($A35^2+VLOOKUP(Type,Vehicles[],4+USC?,0)*(2*VLOOKUP(Type,Vehicles[],6+USC?,0)+VLOOKUP(Type,Vehicles[],4+USC?,0)))-$A35)+IF(USC?,1,0.1)*(H$6/SQRT($A35))-_N/2*_Wn,1),0),""))</f>
        <v/>
      </c>
      <c r="I35" s="4" t="str">
        <f ca="1">IF($A35&lt;I$48,"",IFERROR(MAX(ROUND(_N*(((VLOOKUP(Type,Vehicles[],2+USC?,0))+$A35-SQRT($A35^2-VLOOKUP(Type,Vehicles[],8+USC?,0)))+_C)+(_N-1)*(SQRT($A35^2+VLOOKUP(Type,Vehicles[],4+USC?,0)*(2*VLOOKUP(Type,Vehicles[],6+USC?,0)+VLOOKUP(Type,Vehicles[],4+USC?,0)))-$A35)+IF(USC?,1,0.1)*(I$6/SQRT($A35))-_N/2*_Wn,1),0),""))</f>
        <v/>
      </c>
      <c r="J35" s="4" t="str">
        <f ca="1">IF($A35&lt;J$48,"",IFERROR(MAX(ROUND(_N*(((VLOOKUP(Type,Vehicles[],2+USC?,0))+$A35-SQRT($A35^2-VLOOKUP(Type,Vehicles[],8+USC?,0)))+_C)+(_N-1)*(SQRT($A35^2+VLOOKUP(Type,Vehicles[],4+USC?,0)*(2*VLOOKUP(Type,Vehicles[],6+USC?,0)+VLOOKUP(Type,Vehicles[],4+USC?,0)))-$A35)+IF(USC?,1,0.1)*(J$6/SQRT($A35))-_N/2*_Wn,1),0),""))</f>
        <v/>
      </c>
      <c r="K35" s="4" t="str">
        <f ca="1">IF($A35&lt;K$48,"",IFERROR(MAX(ROUND(_N*(((VLOOKUP(Type,Vehicles[],2+USC?,0))+$A35-SQRT($A35^2-VLOOKUP(Type,Vehicles[],8+USC?,0)))+_C)+(_N-1)*(SQRT($A35^2+VLOOKUP(Type,Vehicles[],4+USC?,0)*(2*VLOOKUP(Type,Vehicles[],6+USC?,0)+VLOOKUP(Type,Vehicles[],4+USC?,0)))-$A35)+IF(USC?,1,0.1)*(K$6/SQRT($A35))-_N/2*_Wn,1),0),""))</f>
        <v/>
      </c>
      <c r="L35" s="4" t="str">
        <f ca="1">IF($A35&lt;L$48,"",IFERROR(MAX(ROUND(_N*(((VLOOKUP(Type,Vehicles[],2+USC?,0))+$A35-SQRT($A35^2-VLOOKUP(Type,Vehicles[],8+USC?,0)))+_C)+(_N-1)*(SQRT($A35^2+VLOOKUP(Type,Vehicles[],4+USC?,0)*(2*VLOOKUP(Type,Vehicles[],6+USC?,0)+VLOOKUP(Type,Vehicles[],4+USC?,0)))-$A35)+IF(USC?,1,0.1)*(L$6/SQRT($A35))-_N/2*_Wn,1),0),""))</f>
        <v/>
      </c>
      <c r="M35" s="4" t="str">
        <f ca="1">IF($A35&lt;M$48,"",IFERROR(MAX(ROUND(_N*(((VLOOKUP(Type,Vehicles[],2+USC?,0))+$A35-SQRT($A35^2-VLOOKUP(Type,Vehicles[],8+USC?,0)))+_C)+(_N-1)*(SQRT($A35^2+VLOOKUP(Type,Vehicles[],4+USC?,0)*(2*VLOOKUP(Type,Vehicles[],6+USC?,0)+VLOOKUP(Type,Vehicles[],4+USC?,0)))-$A35)+IF(USC?,1,0.1)*(M$6/SQRT($A35))-_N/2*_Wn,1),0),""))</f>
        <v/>
      </c>
      <c r="N35" s="4" t="str">
        <f ca="1">IF($A35&lt;N$48,"",IFERROR(MAX(ROUND(_N*(((VLOOKUP(Type,Vehicles[],2+USC?,0))+$A35-SQRT($A35^2-VLOOKUP(Type,Vehicles[],8+USC?,0)))+_C)+(_N-1)*(SQRT($A35^2+VLOOKUP(Type,Vehicles[],4+USC?,0)*(2*VLOOKUP(Type,Vehicles[],6+USC?,0)+VLOOKUP(Type,Vehicles[],4+USC?,0)))-$A35)+IF(USC?,1,0.1)*(N$6/SQRT($A35))-_N/2*_Wn,1),0),""))</f>
        <v/>
      </c>
      <c r="O35" s="4" t="str">
        <f ca="1">IF($A35&lt;O$48,"",IFERROR(MAX(ROUND(_N*(((VLOOKUP(Type,Vehicles[],2+USC?,0))+$A35-SQRT($A35^2-VLOOKUP(Type,Vehicles[],8+USC?,0)))+_C)+(_N-1)*(SQRT($A35^2+VLOOKUP(Type,Vehicles[],4+USC?,0)*(2*VLOOKUP(Type,Vehicles[],6+USC?,0)+VLOOKUP(Type,Vehicles[],4+USC?,0)))-$A35)+IF(USC?,1,0.1)*(O$6/SQRT($A35))-_N/2*_Wn,1),0),""))</f>
        <v/>
      </c>
      <c r="P35" s="4" t="str">
        <f ca="1">IF($A35&lt;P$48,"",IFERROR(MAX(ROUND(_N*(((VLOOKUP(Type,Vehicles[],2+USC?,0))+$A35-SQRT($A35^2-VLOOKUP(Type,Vehicles[],8+USC?,0)))+_C)+(_N-1)*(SQRT($A35^2+VLOOKUP(Type,Vehicles[],4+USC?,0)*(2*VLOOKUP(Type,Vehicles[],6+USC?,0)+VLOOKUP(Type,Vehicles[],4+USC?,0)))-$A35)+IF(USC?,1,0.1)*(P$6/SQRT($A35))-_N/2*_Wn,1),0),""))</f>
        <v/>
      </c>
    </row>
    <row r="36" spans="1:16" x14ac:dyDescent="0.2">
      <c r="A36" s="22">
        <f ca="1">IFERROR(INDEX(Radius.List[Radius],ROW(A36)-ROW(A$6)-1+IF(LEN(Max.Radius)&gt;0,MATCH(Max.Radius,Radius.List[Radius],0)-1,IFERROR(MATCH(IF(USC?,1.6,0.5),Radius.List[Widening],1)-1,0))),"")</f>
        <v>25</v>
      </c>
      <c r="B36" s="4" t="str">
        <f ca="1">IF($A36&lt;B$48,"",IFERROR(MAX(ROUND(_N*(((VLOOKUP(Type,Vehicles[],2+USC?,0))+$A36-SQRT($A36^2-VLOOKUP(Type,Vehicles[],8+USC?,0)))+_C)+(_N-1)*(SQRT($A36^2+VLOOKUP(Type,Vehicles[],4+USC?,0)*(2*VLOOKUP(Type,Vehicles[],6+USC?,0)+VLOOKUP(Type,Vehicles[],4+USC?,0)))-$A36)+IF(USC?,1,0.1)*(B$6/SQRT($A36))-_N/2*_Wn,1),0),""))</f>
        <v/>
      </c>
      <c r="C36" s="4" t="str">
        <f ca="1">IF($A36&lt;C$48,"",IFERROR(MAX(ROUND(_N*(((VLOOKUP(Type,Vehicles[],2+USC?,0))+$A36-SQRT($A36^2-VLOOKUP(Type,Vehicles[],8+USC?,0)))+_C)+(_N-1)*(SQRT($A36^2+VLOOKUP(Type,Vehicles[],4+USC?,0)*(2*VLOOKUP(Type,Vehicles[],6+USC?,0)+VLOOKUP(Type,Vehicles[],4+USC?,0)))-$A36)+IF(USC?,1,0.1)*(C$6/SQRT($A36))-_N/2*_Wn,1),0),""))</f>
        <v/>
      </c>
      <c r="D36" s="4" t="str">
        <f ca="1">IF($A36&lt;D$48,"",IFERROR(MAX(ROUND(_N*(((VLOOKUP(Type,Vehicles[],2+USC?,0))+$A36-SQRT($A36^2-VLOOKUP(Type,Vehicles[],8+USC?,0)))+_C)+(_N-1)*(SQRT($A36^2+VLOOKUP(Type,Vehicles[],4+USC?,0)*(2*VLOOKUP(Type,Vehicles[],6+USC?,0)+VLOOKUP(Type,Vehicles[],4+USC?,0)))-$A36)+IF(USC?,1,0.1)*(D$6/SQRT($A36))-_N/2*_Wn,1),0),""))</f>
        <v/>
      </c>
      <c r="E36" s="4" t="str">
        <f ca="1">IF($A36&lt;E$48,"",IFERROR(MAX(ROUND(_N*(((VLOOKUP(Type,Vehicles[],2+USC?,0))+$A36-SQRT($A36^2-VLOOKUP(Type,Vehicles[],8+USC?,0)))+_C)+(_N-1)*(SQRT($A36^2+VLOOKUP(Type,Vehicles[],4+USC?,0)*(2*VLOOKUP(Type,Vehicles[],6+USC?,0)+VLOOKUP(Type,Vehicles[],4+USC?,0)))-$A36)+IF(USC?,1,0.1)*(E$6/SQRT($A36))-_N/2*_Wn,1),0),""))</f>
        <v/>
      </c>
      <c r="F36" s="4" t="str">
        <f ca="1">IF($A36&lt;F$48,"",IFERROR(MAX(ROUND(_N*(((VLOOKUP(Type,Vehicles[],2+USC?,0))+$A36-SQRT($A36^2-VLOOKUP(Type,Vehicles[],8+USC?,0)))+_C)+(_N-1)*(SQRT($A36^2+VLOOKUP(Type,Vehicles[],4+USC?,0)*(2*VLOOKUP(Type,Vehicles[],6+USC?,0)+VLOOKUP(Type,Vehicles[],4+USC?,0)))-$A36)+IF(USC?,1,0.1)*(F$6/SQRT($A36))-_N/2*_Wn,1),0),""))</f>
        <v/>
      </c>
      <c r="G36" s="4" t="str">
        <f ca="1">IF($A36&lt;G$48,"",IFERROR(MAX(ROUND(_N*(((VLOOKUP(Type,Vehicles[],2+USC?,0))+$A36-SQRT($A36^2-VLOOKUP(Type,Vehicles[],8+USC?,0)))+_C)+(_N-1)*(SQRT($A36^2+VLOOKUP(Type,Vehicles[],4+USC?,0)*(2*VLOOKUP(Type,Vehicles[],6+USC?,0)+VLOOKUP(Type,Vehicles[],4+USC?,0)))-$A36)+IF(USC?,1,0.1)*(G$6/SQRT($A36))-_N/2*_Wn,1),0),""))</f>
        <v/>
      </c>
      <c r="H36" s="4" t="str">
        <f ca="1">IF($A36&lt;H$48,"",IFERROR(MAX(ROUND(_N*(((VLOOKUP(Type,Vehicles[],2+USC?,0))+$A36-SQRT($A36^2-VLOOKUP(Type,Vehicles[],8+USC?,0)))+_C)+(_N-1)*(SQRT($A36^2+VLOOKUP(Type,Vehicles[],4+USC?,0)*(2*VLOOKUP(Type,Vehicles[],6+USC?,0)+VLOOKUP(Type,Vehicles[],4+USC?,0)))-$A36)+IF(USC?,1,0.1)*(H$6/SQRT($A36))-_N/2*_Wn,1),0),""))</f>
        <v/>
      </c>
      <c r="I36" s="4" t="str">
        <f ca="1">IF($A36&lt;I$48,"",IFERROR(MAX(ROUND(_N*(((VLOOKUP(Type,Vehicles[],2+USC?,0))+$A36-SQRT($A36^2-VLOOKUP(Type,Vehicles[],8+USC?,0)))+_C)+(_N-1)*(SQRT($A36^2+VLOOKUP(Type,Vehicles[],4+USC?,0)*(2*VLOOKUP(Type,Vehicles[],6+USC?,0)+VLOOKUP(Type,Vehicles[],4+USC?,0)))-$A36)+IF(USC?,1,0.1)*(I$6/SQRT($A36))-_N/2*_Wn,1),0),""))</f>
        <v/>
      </c>
      <c r="J36" s="4" t="str">
        <f ca="1">IF($A36&lt;J$48,"",IFERROR(MAX(ROUND(_N*(((VLOOKUP(Type,Vehicles[],2+USC?,0))+$A36-SQRT($A36^2-VLOOKUP(Type,Vehicles[],8+USC?,0)))+_C)+(_N-1)*(SQRT($A36^2+VLOOKUP(Type,Vehicles[],4+USC?,0)*(2*VLOOKUP(Type,Vehicles[],6+USC?,0)+VLOOKUP(Type,Vehicles[],4+USC?,0)))-$A36)+IF(USC?,1,0.1)*(J$6/SQRT($A36))-_N/2*_Wn,1),0),""))</f>
        <v/>
      </c>
      <c r="K36" s="4" t="str">
        <f ca="1">IF($A36&lt;K$48,"",IFERROR(MAX(ROUND(_N*(((VLOOKUP(Type,Vehicles[],2+USC?,0))+$A36-SQRT($A36^2-VLOOKUP(Type,Vehicles[],8+USC?,0)))+_C)+(_N-1)*(SQRT($A36^2+VLOOKUP(Type,Vehicles[],4+USC?,0)*(2*VLOOKUP(Type,Vehicles[],6+USC?,0)+VLOOKUP(Type,Vehicles[],4+USC?,0)))-$A36)+IF(USC?,1,0.1)*(K$6/SQRT($A36))-_N/2*_Wn,1),0),""))</f>
        <v/>
      </c>
      <c r="L36" s="4" t="str">
        <f ca="1">IF($A36&lt;L$48,"",IFERROR(MAX(ROUND(_N*(((VLOOKUP(Type,Vehicles[],2+USC?,0))+$A36-SQRT($A36^2-VLOOKUP(Type,Vehicles[],8+USC?,0)))+_C)+(_N-1)*(SQRT($A36^2+VLOOKUP(Type,Vehicles[],4+USC?,0)*(2*VLOOKUP(Type,Vehicles[],6+USC?,0)+VLOOKUP(Type,Vehicles[],4+USC?,0)))-$A36)+IF(USC?,1,0.1)*(L$6/SQRT($A36))-_N/2*_Wn,1),0),""))</f>
        <v/>
      </c>
      <c r="M36" s="4" t="str">
        <f ca="1">IF($A36&lt;M$48,"",IFERROR(MAX(ROUND(_N*(((VLOOKUP(Type,Vehicles[],2+USC?,0))+$A36-SQRT($A36^2-VLOOKUP(Type,Vehicles[],8+USC?,0)))+_C)+(_N-1)*(SQRT($A36^2+VLOOKUP(Type,Vehicles[],4+USC?,0)*(2*VLOOKUP(Type,Vehicles[],6+USC?,0)+VLOOKUP(Type,Vehicles[],4+USC?,0)))-$A36)+IF(USC?,1,0.1)*(M$6/SQRT($A36))-_N/2*_Wn,1),0),""))</f>
        <v/>
      </c>
      <c r="N36" s="4" t="str">
        <f ca="1">IF($A36&lt;N$48,"",IFERROR(MAX(ROUND(_N*(((VLOOKUP(Type,Vehicles[],2+USC?,0))+$A36-SQRT($A36^2-VLOOKUP(Type,Vehicles[],8+USC?,0)))+_C)+(_N-1)*(SQRT($A36^2+VLOOKUP(Type,Vehicles[],4+USC?,0)*(2*VLOOKUP(Type,Vehicles[],6+USC?,0)+VLOOKUP(Type,Vehicles[],4+USC?,0)))-$A36)+IF(USC?,1,0.1)*(N$6/SQRT($A36))-_N/2*_Wn,1),0),""))</f>
        <v/>
      </c>
      <c r="O36" s="4" t="str">
        <f ca="1">IF($A36&lt;O$48,"",IFERROR(MAX(ROUND(_N*(((VLOOKUP(Type,Vehicles[],2+USC?,0))+$A36-SQRT($A36^2-VLOOKUP(Type,Vehicles[],8+USC?,0)))+_C)+(_N-1)*(SQRT($A36^2+VLOOKUP(Type,Vehicles[],4+USC?,0)*(2*VLOOKUP(Type,Vehicles[],6+USC?,0)+VLOOKUP(Type,Vehicles[],4+USC?,0)))-$A36)+IF(USC?,1,0.1)*(O$6/SQRT($A36))-_N/2*_Wn,1),0),""))</f>
        <v/>
      </c>
      <c r="P36" s="4" t="str">
        <f ca="1">IF($A36&lt;P$48,"",IFERROR(MAX(ROUND(_N*(((VLOOKUP(Type,Vehicles[],2+USC?,0))+$A36-SQRT($A36^2-VLOOKUP(Type,Vehicles[],8+USC?,0)))+_C)+(_N-1)*(SQRT($A36^2+VLOOKUP(Type,Vehicles[],4+USC?,0)*(2*VLOOKUP(Type,Vehicles[],6+USC?,0)+VLOOKUP(Type,Vehicles[],4+USC?,0)))-$A36)+IF(USC?,1,0.1)*(P$6/SQRT($A36))-_N/2*_Wn,1),0),""))</f>
        <v/>
      </c>
    </row>
    <row r="37" spans="1:16" x14ac:dyDescent="0.2">
      <c r="A37" s="22">
        <f ca="1">IFERROR(INDEX(Radius.List[Radius],ROW(A37)-ROW(A$6)-1+IF(LEN(Max.Radius)&gt;0,MATCH(Max.Radius,Radius.List[Radius],0)-1,IFERROR(MATCH(IF(USC?,1.6,0.5),Radius.List[Widening],1)-1,0))),"")</f>
        <v>20</v>
      </c>
      <c r="B37" s="4" t="str">
        <f ca="1">IF($A37&lt;B$48,"",IFERROR(MAX(ROUND(_N*(((VLOOKUP(Type,Vehicles[],2+USC?,0))+$A37-SQRT($A37^2-VLOOKUP(Type,Vehicles[],8+USC?,0)))+_C)+(_N-1)*(SQRT($A37^2+VLOOKUP(Type,Vehicles[],4+USC?,0)*(2*VLOOKUP(Type,Vehicles[],6+USC?,0)+VLOOKUP(Type,Vehicles[],4+USC?,0)))-$A37)+IF(USC?,1,0.1)*(B$6/SQRT($A37))-_N/2*_Wn,1),0),""))</f>
        <v/>
      </c>
      <c r="C37" s="4" t="str">
        <f ca="1">IF($A37&lt;C$48,"",IFERROR(MAX(ROUND(_N*(((VLOOKUP(Type,Vehicles[],2+USC?,0))+$A37-SQRT($A37^2-VLOOKUP(Type,Vehicles[],8+USC?,0)))+_C)+(_N-1)*(SQRT($A37^2+VLOOKUP(Type,Vehicles[],4+USC?,0)*(2*VLOOKUP(Type,Vehicles[],6+USC?,0)+VLOOKUP(Type,Vehicles[],4+USC?,0)))-$A37)+IF(USC?,1,0.1)*(C$6/SQRT($A37))-_N/2*_Wn,1),0),""))</f>
        <v/>
      </c>
      <c r="D37" s="4" t="str">
        <f ca="1">IF($A37&lt;D$48,"",IFERROR(MAX(ROUND(_N*(((VLOOKUP(Type,Vehicles[],2+USC?,0))+$A37-SQRT($A37^2-VLOOKUP(Type,Vehicles[],8+USC?,0)))+_C)+(_N-1)*(SQRT($A37^2+VLOOKUP(Type,Vehicles[],4+USC?,0)*(2*VLOOKUP(Type,Vehicles[],6+USC?,0)+VLOOKUP(Type,Vehicles[],4+USC?,0)))-$A37)+IF(USC?,1,0.1)*(D$6/SQRT($A37))-_N/2*_Wn,1),0),""))</f>
        <v/>
      </c>
      <c r="E37" s="4" t="str">
        <f ca="1">IF($A37&lt;E$48,"",IFERROR(MAX(ROUND(_N*(((VLOOKUP(Type,Vehicles[],2+USC?,0))+$A37-SQRT($A37^2-VLOOKUP(Type,Vehicles[],8+USC?,0)))+_C)+(_N-1)*(SQRT($A37^2+VLOOKUP(Type,Vehicles[],4+USC?,0)*(2*VLOOKUP(Type,Vehicles[],6+USC?,0)+VLOOKUP(Type,Vehicles[],4+USC?,0)))-$A37)+IF(USC?,1,0.1)*(E$6/SQRT($A37))-_N/2*_Wn,1),0),""))</f>
        <v/>
      </c>
      <c r="F37" s="4" t="str">
        <f ca="1">IF($A37&lt;F$48,"",IFERROR(MAX(ROUND(_N*(((VLOOKUP(Type,Vehicles[],2+USC?,0))+$A37-SQRT($A37^2-VLOOKUP(Type,Vehicles[],8+USC?,0)))+_C)+(_N-1)*(SQRT($A37^2+VLOOKUP(Type,Vehicles[],4+USC?,0)*(2*VLOOKUP(Type,Vehicles[],6+USC?,0)+VLOOKUP(Type,Vehicles[],4+USC?,0)))-$A37)+IF(USC?,1,0.1)*(F$6/SQRT($A37))-_N/2*_Wn,1),0),""))</f>
        <v/>
      </c>
      <c r="G37" s="4" t="str">
        <f ca="1">IF($A37&lt;G$48,"",IFERROR(MAX(ROUND(_N*(((VLOOKUP(Type,Vehicles[],2+USC?,0))+$A37-SQRT($A37^2-VLOOKUP(Type,Vehicles[],8+USC?,0)))+_C)+(_N-1)*(SQRT($A37^2+VLOOKUP(Type,Vehicles[],4+USC?,0)*(2*VLOOKUP(Type,Vehicles[],6+USC?,0)+VLOOKUP(Type,Vehicles[],4+USC?,0)))-$A37)+IF(USC?,1,0.1)*(G$6/SQRT($A37))-_N/2*_Wn,1),0),""))</f>
        <v/>
      </c>
      <c r="H37" s="4" t="str">
        <f ca="1">IF($A37&lt;H$48,"",IFERROR(MAX(ROUND(_N*(((VLOOKUP(Type,Vehicles[],2+USC?,0))+$A37-SQRT($A37^2-VLOOKUP(Type,Vehicles[],8+USC?,0)))+_C)+(_N-1)*(SQRT($A37^2+VLOOKUP(Type,Vehicles[],4+USC?,0)*(2*VLOOKUP(Type,Vehicles[],6+USC?,0)+VLOOKUP(Type,Vehicles[],4+USC?,0)))-$A37)+IF(USC?,1,0.1)*(H$6/SQRT($A37))-_N/2*_Wn,1),0),""))</f>
        <v/>
      </c>
      <c r="I37" s="4" t="str">
        <f ca="1">IF($A37&lt;I$48,"",IFERROR(MAX(ROUND(_N*(((VLOOKUP(Type,Vehicles[],2+USC?,0))+$A37-SQRT($A37^2-VLOOKUP(Type,Vehicles[],8+USC?,0)))+_C)+(_N-1)*(SQRT($A37^2+VLOOKUP(Type,Vehicles[],4+USC?,0)*(2*VLOOKUP(Type,Vehicles[],6+USC?,0)+VLOOKUP(Type,Vehicles[],4+USC?,0)))-$A37)+IF(USC?,1,0.1)*(I$6/SQRT($A37))-_N/2*_Wn,1),0),""))</f>
        <v/>
      </c>
      <c r="J37" s="4" t="str">
        <f ca="1">IF($A37&lt;J$48,"",IFERROR(MAX(ROUND(_N*(((VLOOKUP(Type,Vehicles[],2+USC?,0))+$A37-SQRT($A37^2-VLOOKUP(Type,Vehicles[],8+USC?,0)))+_C)+(_N-1)*(SQRT($A37^2+VLOOKUP(Type,Vehicles[],4+USC?,0)*(2*VLOOKUP(Type,Vehicles[],6+USC?,0)+VLOOKUP(Type,Vehicles[],4+USC?,0)))-$A37)+IF(USC?,1,0.1)*(J$6/SQRT($A37))-_N/2*_Wn,1),0),""))</f>
        <v/>
      </c>
      <c r="K37" s="4" t="str">
        <f ca="1">IF($A37&lt;K$48,"",IFERROR(MAX(ROUND(_N*(((VLOOKUP(Type,Vehicles[],2+USC?,0))+$A37-SQRT($A37^2-VLOOKUP(Type,Vehicles[],8+USC?,0)))+_C)+(_N-1)*(SQRT($A37^2+VLOOKUP(Type,Vehicles[],4+USC?,0)*(2*VLOOKUP(Type,Vehicles[],6+USC?,0)+VLOOKUP(Type,Vehicles[],4+USC?,0)))-$A37)+IF(USC?,1,0.1)*(K$6/SQRT($A37))-_N/2*_Wn,1),0),""))</f>
        <v/>
      </c>
      <c r="L37" s="4" t="str">
        <f ca="1">IF($A37&lt;L$48,"",IFERROR(MAX(ROUND(_N*(((VLOOKUP(Type,Vehicles[],2+USC?,0))+$A37-SQRT($A37^2-VLOOKUP(Type,Vehicles[],8+USC?,0)))+_C)+(_N-1)*(SQRT($A37^2+VLOOKUP(Type,Vehicles[],4+USC?,0)*(2*VLOOKUP(Type,Vehicles[],6+USC?,0)+VLOOKUP(Type,Vehicles[],4+USC?,0)))-$A37)+IF(USC?,1,0.1)*(L$6/SQRT($A37))-_N/2*_Wn,1),0),""))</f>
        <v/>
      </c>
      <c r="M37" s="4" t="str">
        <f ca="1">IF($A37&lt;M$48,"",IFERROR(MAX(ROUND(_N*(((VLOOKUP(Type,Vehicles[],2+USC?,0))+$A37-SQRT($A37^2-VLOOKUP(Type,Vehicles[],8+USC?,0)))+_C)+(_N-1)*(SQRT($A37^2+VLOOKUP(Type,Vehicles[],4+USC?,0)*(2*VLOOKUP(Type,Vehicles[],6+USC?,0)+VLOOKUP(Type,Vehicles[],4+USC?,0)))-$A37)+IF(USC?,1,0.1)*(M$6/SQRT($A37))-_N/2*_Wn,1),0),""))</f>
        <v/>
      </c>
      <c r="N37" s="4" t="str">
        <f ca="1">IF($A37&lt;N$48,"",IFERROR(MAX(ROUND(_N*(((VLOOKUP(Type,Vehicles[],2+USC?,0))+$A37-SQRT($A37^2-VLOOKUP(Type,Vehicles[],8+USC?,0)))+_C)+(_N-1)*(SQRT($A37^2+VLOOKUP(Type,Vehicles[],4+USC?,0)*(2*VLOOKUP(Type,Vehicles[],6+USC?,0)+VLOOKUP(Type,Vehicles[],4+USC?,0)))-$A37)+IF(USC?,1,0.1)*(N$6/SQRT($A37))-_N/2*_Wn,1),0),""))</f>
        <v/>
      </c>
      <c r="O37" s="4" t="str">
        <f ca="1">IF($A37&lt;O$48,"",IFERROR(MAX(ROUND(_N*(((VLOOKUP(Type,Vehicles[],2+USC?,0))+$A37-SQRT($A37^2-VLOOKUP(Type,Vehicles[],8+USC?,0)))+_C)+(_N-1)*(SQRT($A37^2+VLOOKUP(Type,Vehicles[],4+USC?,0)*(2*VLOOKUP(Type,Vehicles[],6+USC?,0)+VLOOKUP(Type,Vehicles[],4+USC?,0)))-$A37)+IF(USC?,1,0.1)*(O$6/SQRT($A37))-_N/2*_Wn,1),0),""))</f>
        <v/>
      </c>
      <c r="P37" s="4" t="str">
        <f ca="1">IF($A37&lt;P$48,"",IFERROR(MAX(ROUND(_N*(((VLOOKUP(Type,Vehicles[],2+USC?,0))+$A37-SQRT($A37^2-VLOOKUP(Type,Vehicles[],8+USC?,0)))+_C)+(_N-1)*(SQRT($A37^2+VLOOKUP(Type,Vehicles[],4+USC?,0)*(2*VLOOKUP(Type,Vehicles[],6+USC?,0)+VLOOKUP(Type,Vehicles[],4+USC?,0)))-$A37)+IF(USC?,1,0.1)*(P$6/SQRT($A37))-_N/2*_Wn,1),0),""))</f>
        <v/>
      </c>
    </row>
    <row r="38" spans="1:16" x14ac:dyDescent="0.2">
      <c r="A38" s="22">
        <f ca="1">IFERROR(INDEX(Radius.List[Radius],ROW(A38)-ROW(A$6)-1+IF(LEN(Max.Radius)&gt;0,MATCH(Max.Radius,Radius.List[Radius],0)-1,IFERROR(MATCH(IF(USC?,1.6,0.5),Radius.List[Widening],1)-1,0))),"")</f>
        <v>15</v>
      </c>
      <c r="B38" s="4" t="str">
        <f ca="1">IF($A38&lt;B$48,"",IFERROR(MAX(ROUND(_N*(((VLOOKUP(Type,Vehicles[],2+USC?,0))+$A38-SQRT($A38^2-VLOOKUP(Type,Vehicles[],8+USC?,0)))+_C)+(_N-1)*(SQRT($A38^2+VLOOKUP(Type,Vehicles[],4+USC?,0)*(2*VLOOKUP(Type,Vehicles[],6+USC?,0)+VLOOKUP(Type,Vehicles[],4+USC?,0)))-$A38)+IF(USC?,1,0.1)*(B$6/SQRT($A38))-_N/2*_Wn,1),0),""))</f>
        <v/>
      </c>
      <c r="C38" s="4" t="str">
        <f ca="1">IF($A38&lt;C$48,"",IFERROR(MAX(ROUND(_N*(((VLOOKUP(Type,Vehicles[],2+USC?,0))+$A38-SQRT($A38^2-VLOOKUP(Type,Vehicles[],8+USC?,0)))+_C)+(_N-1)*(SQRT($A38^2+VLOOKUP(Type,Vehicles[],4+USC?,0)*(2*VLOOKUP(Type,Vehicles[],6+USC?,0)+VLOOKUP(Type,Vehicles[],4+USC?,0)))-$A38)+IF(USC?,1,0.1)*(C$6/SQRT($A38))-_N/2*_Wn,1),0),""))</f>
        <v/>
      </c>
      <c r="D38" s="4" t="str">
        <f ca="1">IF($A38&lt;D$48,"",IFERROR(MAX(ROUND(_N*(((VLOOKUP(Type,Vehicles[],2+USC?,0))+$A38-SQRT($A38^2-VLOOKUP(Type,Vehicles[],8+USC?,0)))+_C)+(_N-1)*(SQRT($A38^2+VLOOKUP(Type,Vehicles[],4+USC?,0)*(2*VLOOKUP(Type,Vehicles[],6+USC?,0)+VLOOKUP(Type,Vehicles[],4+USC?,0)))-$A38)+IF(USC?,1,0.1)*(D$6/SQRT($A38))-_N/2*_Wn,1),0),""))</f>
        <v/>
      </c>
      <c r="E38" s="4" t="str">
        <f ca="1">IF($A38&lt;E$48,"",IFERROR(MAX(ROUND(_N*(((VLOOKUP(Type,Vehicles[],2+USC?,0))+$A38-SQRT($A38^2-VLOOKUP(Type,Vehicles[],8+USC?,0)))+_C)+(_N-1)*(SQRT($A38^2+VLOOKUP(Type,Vehicles[],4+USC?,0)*(2*VLOOKUP(Type,Vehicles[],6+USC?,0)+VLOOKUP(Type,Vehicles[],4+USC?,0)))-$A38)+IF(USC?,1,0.1)*(E$6/SQRT($A38))-_N/2*_Wn,1),0),""))</f>
        <v/>
      </c>
      <c r="F38" s="4" t="str">
        <f ca="1">IF($A38&lt;F$48,"",IFERROR(MAX(ROUND(_N*(((VLOOKUP(Type,Vehicles[],2+USC?,0))+$A38-SQRT($A38^2-VLOOKUP(Type,Vehicles[],8+USC?,0)))+_C)+(_N-1)*(SQRT($A38^2+VLOOKUP(Type,Vehicles[],4+USC?,0)*(2*VLOOKUP(Type,Vehicles[],6+USC?,0)+VLOOKUP(Type,Vehicles[],4+USC?,0)))-$A38)+IF(USC?,1,0.1)*(F$6/SQRT($A38))-_N/2*_Wn,1),0),""))</f>
        <v/>
      </c>
      <c r="G38" s="4" t="str">
        <f ca="1">IF($A38&lt;G$48,"",IFERROR(MAX(ROUND(_N*(((VLOOKUP(Type,Vehicles[],2+USC?,0))+$A38-SQRT($A38^2-VLOOKUP(Type,Vehicles[],8+USC?,0)))+_C)+(_N-1)*(SQRT($A38^2+VLOOKUP(Type,Vehicles[],4+USC?,0)*(2*VLOOKUP(Type,Vehicles[],6+USC?,0)+VLOOKUP(Type,Vehicles[],4+USC?,0)))-$A38)+IF(USC?,1,0.1)*(G$6/SQRT($A38))-_N/2*_Wn,1),0),""))</f>
        <v/>
      </c>
      <c r="H38" s="4" t="str">
        <f ca="1">IF($A38&lt;H$48,"",IFERROR(MAX(ROUND(_N*(((VLOOKUP(Type,Vehicles[],2+USC?,0))+$A38-SQRT($A38^2-VLOOKUP(Type,Vehicles[],8+USC?,0)))+_C)+(_N-1)*(SQRT($A38^2+VLOOKUP(Type,Vehicles[],4+USC?,0)*(2*VLOOKUP(Type,Vehicles[],6+USC?,0)+VLOOKUP(Type,Vehicles[],4+USC?,0)))-$A38)+IF(USC?,1,0.1)*(H$6/SQRT($A38))-_N/2*_Wn,1),0),""))</f>
        <v/>
      </c>
      <c r="I38" s="4" t="str">
        <f ca="1">IF($A38&lt;I$48,"",IFERROR(MAX(ROUND(_N*(((VLOOKUP(Type,Vehicles[],2+USC?,0))+$A38-SQRT($A38^2-VLOOKUP(Type,Vehicles[],8+USC?,0)))+_C)+(_N-1)*(SQRT($A38^2+VLOOKUP(Type,Vehicles[],4+USC?,0)*(2*VLOOKUP(Type,Vehicles[],6+USC?,0)+VLOOKUP(Type,Vehicles[],4+USC?,0)))-$A38)+IF(USC?,1,0.1)*(I$6/SQRT($A38))-_N/2*_Wn,1),0),""))</f>
        <v/>
      </c>
      <c r="J38" s="4" t="str">
        <f ca="1">IF($A38&lt;J$48,"",IFERROR(MAX(ROUND(_N*(((VLOOKUP(Type,Vehicles[],2+USC?,0))+$A38-SQRT($A38^2-VLOOKUP(Type,Vehicles[],8+USC?,0)))+_C)+(_N-1)*(SQRT($A38^2+VLOOKUP(Type,Vehicles[],4+USC?,0)*(2*VLOOKUP(Type,Vehicles[],6+USC?,0)+VLOOKUP(Type,Vehicles[],4+USC?,0)))-$A38)+IF(USC?,1,0.1)*(J$6/SQRT($A38))-_N/2*_Wn,1),0),""))</f>
        <v/>
      </c>
      <c r="K38" s="4" t="str">
        <f ca="1">IF($A38&lt;K$48,"",IFERROR(MAX(ROUND(_N*(((VLOOKUP(Type,Vehicles[],2+USC?,0))+$A38-SQRT($A38^2-VLOOKUP(Type,Vehicles[],8+USC?,0)))+_C)+(_N-1)*(SQRT($A38^2+VLOOKUP(Type,Vehicles[],4+USC?,0)*(2*VLOOKUP(Type,Vehicles[],6+USC?,0)+VLOOKUP(Type,Vehicles[],4+USC?,0)))-$A38)+IF(USC?,1,0.1)*(K$6/SQRT($A38))-_N/2*_Wn,1),0),""))</f>
        <v/>
      </c>
      <c r="L38" s="4" t="str">
        <f ca="1">IF($A38&lt;L$48,"",IFERROR(MAX(ROUND(_N*(((VLOOKUP(Type,Vehicles[],2+USC?,0))+$A38-SQRT($A38^2-VLOOKUP(Type,Vehicles[],8+USC?,0)))+_C)+(_N-1)*(SQRT($A38^2+VLOOKUP(Type,Vehicles[],4+USC?,0)*(2*VLOOKUP(Type,Vehicles[],6+USC?,0)+VLOOKUP(Type,Vehicles[],4+USC?,0)))-$A38)+IF(USC?,1,0.1)*(L$6/SQRT($A38))-_N/2*_Wn,1),0),""))</f>
        <v/>
      </c>
      <c r="M38" s="4" t="str">
        <f ca="1">IF($A38&lt;M$48,"",IFERROR(MAX(ROUND(_N*(((VLOOKUP(Type,Vehicles[],2+USC?,0))+$A38-SQRT($A38^2-VLOOKUP(Type,Vehicles[],8+USC?,0)))+_C)+(_N-1)*(SQRT($A38^2+VLOOKUP(Type,Vehicles[],4+USC?,0)*(2*VLOOKUP(Type,Vehicles[],6+USC?,0)+VLOOKUP(Type,Vehicles[],4+USC?,0)))-$A38)+IF(USC?,1,0.1)*(M$6/SQRT($A38))-_N/2*_Wn,1),0),""))</f>
        <v/>
      </c>
      <c r="N38" s="4" t="str">
        <f ca="1">IF($A38&lt;N$48,"",IFERROR(MAX(ROUND(_N*(((VLOOKUP(Type,Vehicles[],2+USC?,0))+$A38-SQRT($A38^2-VLOOKUP(Type,Vehicles[],8+USC?,0)))+_C)+(_N-1)*(SQRT($A38^2+VLOOKUP(Type,Vehicles[],4+USC?,0)*(2*VLOOKUP(Type,Vehicles[],6+USC?,0)+VLOOKUP(Type,Vehicles[],4+USC?,0)))-$A38)+IF(USC?,1,0.1)*(N$6/SQRT($A38))-_N/2*_Wn,1),0),""))</f>
        <v/>
      </c>
      <c r="O38" s="4" t="str">
        <f ca="1">IF($A38&lt;O$48,"",IFERROR(MAX(ROUND(_N*(((VLOOKUP(Type,Vehicles[],2+USC?,0))+$A38-SQRT($A38^2-VLOOKUP(Type,Vehicles[],8+USC?,0)))+_C)+(_N-1)*(SQRT($A38^2+VLOOKUP(Type,Vehicles[],4+USC?,0)*(2*VLOOKUP(Type,Vehicles[],6+USC?,0)+VLOOKUP(Type,Vehicles[],4+USC?,0)))-$A38)+IF(USC?,1,0.1)*(O$6/SQRT($A38))-_N/2*_Wn,1),0),""))</f>
        <v/>
      </c>
      <c r="P38" s="4" t="str">
        <f ca="1">IF($A38&lt;P$48,"",IFERROR(MAX(ROUND(_N*(((VLOOKUP(Type,Vehicles[],2+USC?,0))+$A38-SQRT($A38^2-VLOOKUP(Type,Vehicles[],8+USC?,0)))+_C)+(_N-1)*(SQRT($A38^2+VLOOKUP(Type,Vehicles[],4+USC?,0)*(2*VLOOKUP(Type,Vehicles[],6+USC?,0)+VLOOKUP(Type,Vehicles[],4+USC?,0)))-$A38)+IF(USC?,1,0.1)*(P$6/SQRT($A38))-_N/2*_Wn,1),0),""))</f>
        <v/>
      </c>
    </row>
    <row r="39" spans="1:16" x14ac:dyDescent="0.2">
      <c r="A39" s="22" t="str">
        <f ca="1">IFERROR(INDEX(Radius.List[Radius],ROW(A39)-ROW(A$6)-1+IF(LEN(Max.Radius)&gt;0,MATCH(Max.Radius,Radius.List[Radius],0)-1,IFERROR(MATCH(IF(USC?,1.6,0.5),Radius.List[Widening],1)-1,0))),"")</f>
        <v/>
      </c>
      <c r="B39" s="4" t="str">
        <f ca="1">IF($A39&lt;B$48,"",IFERROR(MAX(ROUND(_N*(((VLOOKUP(Type,Vehicles[],2+USC?,0))+$A39-SQRT($A39^2-VLOOKUP(Type,Vehicles[],8+USC?,0)))+_C)+(_N-1)*(SQRT($A39^2+VLOOKUP(Type,Vehicles[],4+USC?,0)*(2*VLOOKUP(Type,Vehicles[],6+USC?,0)+VLOOKUP(Type,Vehicles[],4+USC?,0)))-$A39)+IF(USC?,1,0.1)*(B$6/SQRT($A39))-_N/2*_Wn,1),0),""))</f>
        <v/>
      </c>
      <c r="C39" s="4" t="str">
        <f ca="1">IF($A39&lt;C$48,"",IFERROR(MAX(ROUND(_N*(((VLOOKUP(Type,Vehicles[],2+USC?,0))+$A39-SQRT($A39^2-VLOOKUP(Type,Vehicles[],8+USC?,0)))+_C)+(_N-1)*(SQRT($A39^2+VLOOKUP(Type,Vehicles[],4+USC?,0)*(2*VLOOKUP(Type,Vehicles[],6+USC?,0)+VLOOKUP(Type,Vehicles[],4+USC?,0)))-$A39)+IF(USC?,1,0.1)*(C$6/SQRT($A39))-_N/2*_Wn,1),0),""))</f>
        <v/>
      </c>
      <c r="D39" s="4" t="str">
        <f ca="1">IF($A39&lt;D$48,"",IFERROR(MAX(ROUND(_N*(((VLOOKUP(Type,Vehicles[],2+USC?,0))+$A39-SQRT($A39^2-VLOOKUP(Type,Vehicles[],8+USC?,0)))+_C)+(_N-1)*(SQRT($A39^2+VLOOKUP(Type,Vehicles[],4+USC?,0)*(2*VLOOKUP(Type,Vehicles[],6+USC?,0)+VLOOKUP(Type,Vehicles[],4+USC?,0)))-$A39)+IF(USC?,1,0.1)*(D$6/SQRT($A39))-_N/2*_Wn,1),0),""))</f>
        <v/>
      </c>
      <c r="E39" s="4" t="str">
        <f ca="1">IF($A39&lt;E$48,"",IFERROR(MAX(ROUND(_N*(((VLOOKUP(Type,Vehicles[],2+USC?,0))+$A39-SQRT($A39^2-VLOOKUP(Type,Vehicles[],8+USC?,0)))+_C)+(_N-1)*(SQRT($A39^2+VLOOKUP(Type,Vehicles[],4+USC?,0)*(2*VLOOKUP(Type,Vehicles[],6+USC?,0)+VLOOKUP(Type,Vehicles[],4+USC?,0)))-$A39)+IF(USC?,1,0.1)*(E$6/SQRT($A39))-_N/2*_Wn,1),0),""))</f>
        <v/>
      </c>
      <c r="F39" s="4" t="str">
        <f ca="1">IF($A39&lt;F$48,"",IFERROR(MAX(ROUND(_N*(((VLOOKUP(Type,Vehicles[],2+USC?,0))+$A39-SQRT($A39^2-VLOOKUP(Type,Vehicles[],8+USC?,0)))+_C)+(_N-1)*(SQRT($A39^2+VLOOKUP(Type,Vehicles[],4+USC?,0)*(2*VLOOKUP(Type,Vehicles[],6+USC?,0)+VLOOKUP(Type,Vehicles[],4+USC?,0)))-$A39)+IF(USC?,1,0.1)*(F$6/SQRT($A39))-_N/2*_Wn,1),0),""))</f>
        <v/>
      </c>
      <c r="G39" s="4" t="str">
        <f ca="1">IF($A39&lt;G$48,"",IFERROR(MAX(ROUND(_N*(((VLOOKUP(Type,Vehicles[],2+USC?,0))+$A39-SQRT($A39^2-VLOOKUP(Type,Vehicles[],8+USC?,0)))+_C)+(_N-1)*(SQRT($A39^2+VLOOKUP(Type,Vehicles[],4+USC?,0)*(2*VLOOKUP(Type,Vehicles[],6+USC?,0)+VLOOKUP(Type,Vehicles[],4+USC?,0)))-$A39)+IF(USC?,1,0.1)*(G$6/SQRT($A39))-_N/2*_Wn,1),0),""))</f>
        <v/>
      </c>
      <c r="H39" s="4" t="str">
        <f ca="1">IF($A39&lt;H$48,"",IFERROR(MAX(ROUND(_N*(((VLOOKUP(Type,Vehicles[],2+USC?,0))+$A39-SQRT($A39^2-VLOOKUP(Type,Vehicles[],8+USC?,0)))+_C)+(_N-1)*(SQRT($A39^2+VLOOKUP(Type,Vehicles[],4+USC?,0)*(2*VLOOKUP(Type,Vehicles[],6+USC?,0)+VLOOKUP(Type,Vehicles[],4+USC?,0)))-$A39)+IF(USC?,1,0.1)*(H$6/SQRT($A39))-_N/2*_Wn,1),0),""))</f>
        <v/>
      </c>
      <c r="I39" s="4" t="str">
        <f ca="1">IF($A39&lt;I$48,"",IFERROR(MAX(ROUND(_N*(((VLOOKUP(Type,Vehicles[],2+USC?,0))+$A39-SQRT($A39^2-VLOOKUP(Type,Vehicles[],8+USC?,0)))+_C)+(_N-1)*(SQRT($A39^2+VLOOKUP(Type,Vehicles[],4+USC?,0)*(2*VLOOKUP(Type,Vehicles[],6+USC?,0)+VLOOKUP(Type,Vehicles[],4+USC?,0)))-$A39)+IF(USC?,1,0.1)*(I$6/SQRT($A39))-_N/2*_Wn,1),0),""))</f>
        <v/>
      </c>
      <c r="J39" s="4" t="str">
        <f ca="1">IF($A39&lt;J$48,"",IFERROR(MAX(ROUND(_N*(((VLOOKUP(Type,Vehicles[],2+USC?,0))+$A39-SQRT($A39^2-VLOOKUP(Type,Vehicles[],8+USC?,0)))+_C)+(_N-1)*(SQRT($A39^2+VLOOKUP(Type,Vehicles[],4+USC?,0)*(2*VLOOKUP(Type,Vehicles[],6+USC?,0)+VLOOKUP(Type,Vehicles[],4+USC?,0)))-$A39)+IF(USC?,1,0.1)*(J$6/SQRT($A39))-_N/2*_Wn,1),0),""))</f>
        <v/>
      </c>
      <c r="K39" s="4" t="str">
        <f ca="1">IF($A39&lt;K$48,"",IFERROR(MAX(ROUND(_N*(((VLOOKUP(Type,Vehicles[],2+USC?,0))+$A39-SQRT($A39^2-VLOOKUP(Type,Vehicles[],8+USC?,0)))+_C)+(_N-1)*(SQRT($A39^2+VLOOKUP(Type,Vehicles[],4+USC?,0)*(2*VLOOKUP(Type,Vehicles[],6+USC?,0)+VLOOKUP(Type,Vehicles[],4+USC?,0)))-$A39)+IF(USC?,1,0.1)*(K$6/SQRT($A39))-_N/2*_Wn,1),0),""))</f>
        <v/>
      </c>
      <c r="L39" s="4" t="str">
        <f ca="1">IF($A39&lt;L$48,"",IFERROR(MAX(ROUND(_N*(((VLOOKUP(Type,Vehicles[],2+USC?,0))+$A39-SQRT($A39^2-VLOOKUP(Type,Vehicles[],8+USC?,0)))+_C)+(_N-1)*(SQRT($A39^2+VLOOKUP(Type,Vehicles[],4+USC?,0)*(2*VLOOKUP(Type,Vehicles[],6+USC?,0)+VLOOKUP(Type,Vehicles[],4+USC?,0)))-$A39)+IF(USC?,1,0.1)*(L$6/SQRT($A39))-_N/2*_Wn,1),0),""))</f>
        <v/>
      </c>
      <c r="M39" s="4" t="str">
        <f ca="1">IF($A39&lt;M$48,"",IFERROR(MAX(ROUND(_N*(((VLOOKUP(Type,Vehicles[],2+USC?,0))+$A39-SQRT($A39^2-VLOOKUP(Type,Vehicles[],8+USC?,0)))+_C)+(_N-1)*(SQRT($A39^2+VLOOKUP(Type,Vehicles[],4+USC?,0)*(2*VLOOKUP(Type,Vehicles[],6+USC?,0)+VLOOKUP(Type,Vehicles[],4+USC?,0)))-$A39)+IF(USC?,1,0.1)*(M$6/SQRT($A39))-_N/2*_Wn,1),0),""))</f>
        <v/>
      </c>
      <c r="N39" s="4" t="str">
        <f ca="1">IF($A39&lt;N$48,"",IFERROR(MAX(ROUND(_N*(((VLOOKUP(Type,Vehicles[],2+USC?,0))+$A39-SQRT($A39^2-VLOOKUP(Type,Vehicles[],8+USC?,0)))+_C)+(_N-1)*(SQRT($A39^2+VLOOKUP(Type,Vehicles[],4+USC?,0)*(2*VLOOKUP(Type,Vehicles[],6+USC?,0)+VLOOKUP(Type,Vehicles[],4+USC?,0)))-$A39)+IF(USC?,1,0.1)*(N$6/SQRT($A39))-_N/2*_Wn,1),0),""))</f>
        <v/>
      </c>
      <c r="O39" s="4" t="str">
        <f ca="1">IF($A39&lt;O$48,"",IFERROR(MAX(ROUND(_N*(((VLOOKUP(Type,Vehicles[],2+USC?,0))+$A39-SQRT($A39^2-VLOOKUP(Type,Vehicles[],8+USC?,0)))+_C)+(_N-1)*(SQRT($A39^2+VLOOKUP(Type,Vehicles[],4+USC?,0)*(2*VLOOKUP(Type,Vehicles[],6+USC?,0)+VLOOKUP(Type,Vehicles[],4+USC?,0)))-$A39)+IF(USC?,1,0.1)*(O$6/SQRT($A39))-_N/2*_Wn,1),0),""))</f>
        <v/>
      </c>
      <c r="P39" s="4" t="str">
        <f ca="1">IF($A39&lt;P$48,"",IFERROR(MAX(ROUND(_N*(((VLOOKUP(Type,Vehicles[],2+USC?,0))+$A39-SQRT($A39^2-VLOOKUP(Type,Vehicles[],8+USC?,0)))+_C)+(_N-1)*(SQRT($A39^2+VLOOKUP(Type,Vehicles[],4+USC?,0)*(2*VLOOKUP(Type,Vehicles[],6+USC?,0)+VLOOKUP(Type,Vehicles[],4+USC?,0)))-$A39)+IF(USC?,1,0.1)*(P$6/SQRT($A39))-_N/2*_Wn,1),0),""))</f>
        <v/>
      </c>
    </row>
    <row r="40" spans="1:16" x14ac:dyDescent="0.2">
      <c r="A40" s="22" t="str">
        <f ca="1">IFERROR(INDEX(Radius.List[Radius],ROW(A40)-ROW(A$6)-1+IF(LEN(Max.Radius)&gt;0,MATCH(Max.Radius,Radius.List[Radius],0)-1,IFERROR(MATCH(IF(USC?,1.6,0.5),Radius.List[Widening],1)-1,0))),"")</f>
        <v/>
      </c>
      <c r="B40" s="4" t="str">
        <f ca="1">IF($A40&lt;B$48,"",IFERROR(MAX(ROUND(_N*(((VLOOKUP(Type,Vehicles[],2+USC?,0))+$A40-SQRT($A40^2-VLOOKUP(Type,Vehicles[],8+USC?,0)))+_C)+(_N-1)*(SQRT($A40^2+VLOOKUP(Type,Vehicles[],4+USC?,0)*(2*VLOOKUP(Type,Vehicles[],6+USC?,0)+VLOOKUP(Type,Vehicles[],4+USC?,0)))-$A40)+IF(USC?,1,0.1)*(B$6/SQRT($A40))-_N/2*_Wn,1),0),""))</f>
        <v/>
      </c>
      <c r="C40" s="4" t="str">
        <f ca="1">IF($A40&lt;C$48,"",IFERROR(MAX(ROUND(_N*(((VLOOKUP(Type,Vehicles[],2+USC?,0))+$A40-SQRT($A40^2-VLOOKUP(Type,Vehicles[],8+USC?,0)))+_C)+(_N-1)*(SQRT($A40^2+VLOOKUP(Type,Vehicles[],4+USC?,0)*(2*VLOOKUP(Type,Vehicles[],6+USC?,0)+VLOOKUP(Type,Vehicles[],4+USC?,0)))-$A40)+IF(USC?,1,0.1)*(C$6/SQRT($A40))-_N/2*_Wn,1),0),""))</f>
        <v/>
      </c>
      <c r="D40" s="4" t="str">
        <f ca="1">IF($A40&lt;D$48,"",IFERROR(MAX(ROUND(_N*(((VLOOKUP(Type,Vehicles[],2+USC?,0))+$A40-SQRT($A40^2-VLOOKUP(Type,Vehicles[],8+USC?,0)))+_C)+(_N-1)*(SQRT($A40^2+VLOOKUP(Type,Vehicles[],4+USC?,0)*(2*VLOOKUP(Type,Vehicles[],6+USC?,0)+VLOOKUP(Type,Vehicles[],4+USC?,0)))-$A40)+IF(USC?,1,0.1)*(D$6/SQRT($A40))-_N/2*_Wn,1),0),""))</f>
        <v/>
      </c>
      <c r="E40" s="4" t="str">
        <f ca="1">IF($A40&lt;E$48,"",IFERROR(MAX(ROUND(_N*(((VLOOKUP(Type,Vehicles[],2+USC?,0))+$A40-SQRT($A40^2-VLOOKUP(Type,Vehicles[],8+USC?,0)))+_C)+(_N-1)*(SQRT($A40^2+VLOOKUP(Type,Vehicles[],4+USC?,0)*(2*VLOOKUP(Type,Vehicles[],6+USC?,0)+VLOOKUP(Type,Vehicles[],4+USC?,0)))-$A40)+IF(USC?,1,0.1)*(E$6/SQRT($A40))-_N/2*_Wn,1),0),""))</f>
        <v/>
      </c>
      <c r="F40" s="4" t="str">
        <f ca="1">IF($A40&lt;F$48,"",IFERROR(MAX(ROUND(_N*(((VLOOKUP(Type,Vehicles[],2+USC?,0))+$A40-SQRT($A40^2-VLOOKUP(Type,Vehicles[],8+USC?,0)))+_C)+(_N-1)*(SQRT($A40^2+VLOOKUP(Type,Vehicles[],4+USC?,0)*(2*VLOOKUP(Type,Vehicles[],6+USC?,0)+VLOOKUP(Type,Vehicles[],4+USC?,0)))-$A40)+IF(USC?,1,0.1)*(F$6/SQRT($A40))-_N/2*_Wn,1),0),""))</f>
        <v/>
      </c>
      <c r="G40" s="4" t="str">
        <f ca="1">IF($A40&lt;G$48,"",IFERROR(MAX(ROUND(_N*(((VLOOKUP(Type,Vehicles[],2+USC?,0))+$A40-SQRT($A40^2-VLOOKUP(Type,Vehicles[],8+USC?,0)))+_C)+(_N-1)*(SQRT($A40^2+VLOOKUP(Type,Vehicles[],4+USC?,0)*(2*VLOOKUP(Type,Vehicles[],6+USC?,0)+VLOOKUP(Type,Vehicles[],4+USC?,0)))-$A40)+IF(USC?,1,0.1)*(G$6/SQRT($A40))-_N/2*_Wn,1),0),""))</f>
        <v/>
      </c>
      <c r="H40" s="4" t="str">
        <f ca="1">IF($A40&lt;H$48,"",IFERROR(MAX(ROUND(_N*(((VLOOKUP(Type,Vehicles[],2+USC?,0))+$A40-SQRT($A40^2-VLOOKUP(Type,Vehicles[],8+USC?,0)))+_C)+(_N-1)*(SQRT($A40^2+VLOOKUP(Type,Vehicles[],4+USC?,0)*(2*VLOOKUP(Type,Vehicles[],6+USC?,0)+VLOOKUP(Type,Vehicles[],4+USC?,0)))-$A40)+IF(USC?,1,0.1)*(H$6/SQRT($A40))-_N/2*_Wn,1),0),""))</f>
        <v/>
      </c>
      <c r="I40" s="4" t="str">
        <f ca="1">IF($A40&lt;I$48,"",IFERROR(MAX(ROUND(_N*(((VLOOKUP(Type,Vehicles[],2+USC?,0))+$A40-SQRT($A40^2-VLOOKUP(Type,Vehicles[],8+USC?,0)))+_C)+(_N-1)*(SQRT($A40^2+VLOOKUP(Type,Vehicles[],4+USC?,0)*(2*VLOOKUP(Type,Vehicles[],6+USC?,0)+VLOOKUP(Type,Vehicles[],4+USC?,0)))-$A40)+IF(USC?,1,0.1)*(I$6/SQRT($A40))-_N/2*_Wn,1),0),""))</f>
        <v/>
      </c>
      <c r="J40" s="4" t="str">
        <f ca="1">IF($A40&lt;J$48,"",IFERROR(MAX(ROUND(_N*(((VLOOKUP(Type,Vehicles[],2+USC?,0))+$A40-SQRT($A40^2-VLOOKUP(Type,Vehicles[],8+USC?,0)))+_C)+(_N-1)*(SQRT($A40^2+VLOOKUP(Type,Vehicles[],4+USC?,0)*(2*VLOOKUP(Type,Vehicles[],6+USC?,0)+VLOOKUP(Type,Vehicles[],4+USC?,0)))-$A40)+IF(USC?,1,0.1)*(J$6/SQRT($A40))-_N/2*_Wn,1),0),""))</f>
        <v/>
      </c>
      <c r="K40" s="4" t="str">
        <f ca="1">IF($A40&lt;K$48,"",IFERROR(MAX(ROUND(_N*(((VLOOKUP(Type,Vehicles[],2+USC?,0))+$A40-SQRT($A40^2-VLOOKUP(Type,Vehicles[],8+USC?,0)))+_C)+(_N-1)*(SQRT($A40^2+VLOOKUP(Type,Vehicles[],4+USC?,0)*(2*VLOOKUP(Type,Vehicles[],6+USC?,0)+VLOOKUP(Type,Vehicles[],4+USC?,0)))-$A40)+IF(USC?,1,0.1)*(K$6/SQRT($A40))-_N/2*_Wn,1),0),""))</f>
        <v/>
      </c>
      <c r="L40" s="4" t="str">
        <f ca="1">IF($A40&lt;L$48,"",IFERROR(MAX(ROUND(_N*(((VLOOKUP(Type,Vehicles[],2+USC?,0))+$A40-SQRT($A40^2-VLOOKUP(Type,Vehicles[],8+USC?,0)))+_C)+(_N-1)*(SQRT($A40^2+VLOOKUP(Type,Vehicles[],4+USC?,0)*(2*VLOOKUP(Type,Vehicles[],6+USC?,0)+VLOOKUP(Type,Vehicles[],4+USC?,0)))-$A40)+IF(USC?,1,0.1)*(L$6/SQRT($A40))-_N/2*_Wn,1),0),""))</f>
        <v/>
      </c>
      <c r="M40" s="4" t="str">
        <f ca="1">IF($A40&lt;M$48,"",IFERROR(MAX(ROUND(_N*(((VLOOKUP(Type,Vehicles[],2+USC?,0))+$A40-SQRT($A40^2-VLOOKUP(Type,Vehicles[],8+USC?,0)))+_C)+(_N-1)*(SQRT($A40^2+VLOOKUP(Type,Vehicles[],4+USC?,0)*(2*VLOOKUP(Type,Vehicles[],6+USC?,0)+VLOOKUP(Type,Vehicles[],4+USC?,0)))-$A40)+IF(USC?,1,0.1)*(M$6/SQRT($A40))-_N/2*_Wn,1),0),""))</f>
        <v/>
      </c>
      <c r="N40" s="4" t="str">
        <f ca="1">IF($A40&lt;N$48,"",IFERROR(MAX(ROUND(_N*(((VLOOKUP(Type,Vehicles[],2+USC?,0))+$A40-SQRT($A40^2-VLOOKUP(Type,Vehicles[],8+USC?,0)))+_C)+(_N-1)*(SQRT($A40^2+VLOOKUP(Type,Vehicles[],4+USC?,0)*(2*VLOOKUP(Type,Vehicles[],6+USC?,0)+VLOOKUP(Type,Vehicles[],4+USC?,0)))-$A40)+IF(USC?,1,0.1)*(N$6/SQRT($A40))-_N/2*_Wn,1),0),""))</f>
        <v/>
      </c>
      <c r="O40" s="4" t="str">
        <f ca="1">IF($A40&lt;O$48,"",IFERROR(MAX(ROUND(_N*(((VLOOKUP(Type,Vehicles[],2+USC?,0))+$A40-SQRT($A40^2-VLOOKUP(Type,Vehicles[],8+USC?,0)))+_C)+(_N-1)*(SQRT($A40^2+VLOOKUP(Type,Vehicles[],4+USC?,0)*(2*VLOOKUP(Type,Vehicles[],6+USC?,0)+VLOOKUP(Type,Vehicles[],4+USC?,0)))-$A40)+IF(USC?,1,0.1)*(O$6/SQRT($A40))-_N/2*_Wn,1),0),""))</f>
        <v/>
      </c>
      <c r="P40" s="4" t="str">
        <f ca="1">IF($A40&lt;P$48,"",IFERROR(MAX(ROUND(_N*(((VLOOKUP(Type,Vehicles[],2+USC?,0))+$A40-SQRT($A40^2-VLOOKUP(Type,Vehicles[],8+USC?,0)))+_C)+(_N-1)*(SQRT($A40^2+VLOOKUP(Type,Vehicles[],4+USC?,0)*(2*VLOOKUP(Type,Vehicles[],6+USC?,0)+VLOOKUP(Type,Vehicles[],4+USC?,0)))-$A40)+IF(USC?,1,0.1)*(P$6/SQRT($A40))-_N/2*_Wn,1),0),""))</f>
        <v/>
      </c>
    </row>
    <row r="41" spans="1:16" x14ac:dyDescent="0.2">
      <c r="A41" s="22" t="str">
        <f ca="1">IFERROR(INDEX(Radius.List[Radius],ROW(A41)-ROW(A$6)-1+IF(LEN(Max.Radius)&gt;0,MATCH(Max.Radius,Radius.List[Radius],0)-1,IFERROR(MATCH(IF(USC?,1.6,0.5),Radius.List[Widening],1)-1,0))),"")</f>
        <v/>
      </c>
      <c r="B41" s="4" t="str">
        <f ca="1">IF($A41&lt;B$48,"",IFERROR(MAX(ROUND(_N*(((VLOOKUP(Type,Vehicles[],2+USC?,0))+$A41-SQRT($A41^2-VLOOKUP(Type,Vehicles[],8+USC?,0)))+_C)+(_N-1)*(SQRT($A41^2+VLOOKUP(Type,Vehicles[],4+USC?,0)*(2*VLOOKUP(Type,Vehicles[],6+USC?,0)+VLOOKUP(Type,Vehicles[],4+USC?,0)))-$A41)+IF(USC?,1,0.1)*(B$6/SQRT($A41))-_N/2*_Wn,1),0),""))</f>
        <v/>
      </c>
      <c r="C41" s="4" t="str">
        <f ca="1">IF($A41&lt;C$48,"",IFERROR(MAX(ROUND(_N*(((VLOOKUP(Type,Vehicles[],2+USC?,0))+$A41-SQRT($A41^2-VLOOKUP(Type,Vehicles[],8+USC?,0)))+_C)+(_N-1)*(SQRT($A41^2+VLOOKUP(Type,Vehicles[],4+USC?,0)*(2*VLOOKUP(Type,Vehicles[],6+USC?,0)+VLOOKUP(Type,Vehicles[],4+USC?,0)))-$A41)+IF(USC?,1,0.1)*(C$6/SQRT($A41))-_N/2*_Wn,1),0),""))</f>
        <v/>
      </c>
      <c r="D41" s="4" t="str">
        <f ca="1">IF($A41&lt;D$48,"",IFERROR(MAX(ROUND(_N*(((VLOOKUP(Type,Vehicles[],2+USC?,0))+$A41-SQRT($A41^2-VLOOKUP(Type,Vehicles[],8+USC?,0)))+_C)+(_N-1)*(SQRT($A41^2+VLOOKUP(Type,Vehicles[],4+USC?,0)*(2*VLOOKUP(Type,Vehicles[],6+USC?,0)+VLOOKUP(Type,Vehicles[],4+USC?,0)))-$A41)+IF(USC?,1,0.1)*(D$6/SQRT($A41))-_N/2*_Wn,1),0),""))</f>
        <v/>
      </c>
      <c r="E41" s="4" t="str">
        <f ca="1">IF($A41&lt;E$48,"",IFERROR(MAX(ROUND(_N*(((VLOOKUP(Type,Vehicles[],2+USC?,0))+$A41-SQRT($A41^2-VLOOKUP(Type,Vehicles[],8+USC?,0)))+_C)+(_N-1)*(SQRT($A41^2+VLOOKUP(Type,Vehicles[],4+USC?,0)*(2*VLOOKUP(Type,Vehicles[],6+USC?,0)+VLOOKUP(Type,Vehicles[],4+USC?,0)))-$A41)+IF(USC?,1,0.1)*(E$6/SQRT($A41))-_N/2*_Wn,1),0),""))</f>
        <v/>
      </c>
      <c r="F41" s="4" t="str">
        <f ca="1">IF($A41&lt;F$48,"",IFERROR(MAX(ROUND(_N*(((VLOOKUP(Type,Vehicles[],2+USC?,0))+$A41-SQRT($A41^2-VLOOKUP(Type,Vehicles[],8+USC?,0)))+_C)+(_N-1)*(SQRT($A41^2+VLOOKUP(Type,Vehicles[],4+USC?,0)*(2*VLOOKUP(Type,Vehicles[],6+USC?,0)+VLOOKUP(Type,Vehicles[],4+USC?,0)))-$A41)+IF(USC?,1,0.1)*(F$6/SQRT($A41))-_N/2*_Wn,1),0),""))</f>
        <v/>
      </c>
      <c r="G41" s="4" t="str">
        <f ca="1">IF($A41&lt;G$48,"",IFERROR(MAX(ROUND(_N*(((VLOOKUP(Type,Vehicles[],2+USC?,0))+$A41-SQRT($A41^2-VLOOKUP(Type,Vehicles[],8+USC?,0)))+_C)+(_N-1)*(SQRT($A41^2+VLOOKUP(Type,Vehicles[],4+USC?,0)*(2*VLOOKUP(Type,Vehicles[],6+USC?,0)+VLOOKUP(Type,Vehicles[],4+USC?,0)))-$A41)+IF(USC?,1,0.1)*(G$6/SQRT($A41))-_N/2*_Wn,1),0),""))</f>
        <v/>
      </c>
      <c r="H41" s="4" t="str">
        <f ca="1">IF($A41&lt;H$48,"",IFERROR(MAX(ROUND(_N*(((VLOOKUP(Type,Vehicles[],2+USC?,0))+$A41-SQRT($A41^2-VLOOKUP(Type,Vehicles[],8+USC?,0)))+_C)+(_N-1)*(SQRT($A41^2+VLOOKUP(Type,Vehicles[],4+USC?,0)*(2*VLOOKUP(Type,Vehicles[],6+USC?,0)+VLOOKUP(Type,Vehicles[],4+USC?,0)))-$A41)+IF(USC?,1,0.1)*(H$6/SQRT($A41))-_N/2*_Wn,1),0),""))</f>
        <v/>
      </c>
      <c r="I41" s="4" t="str">
        <f ca="1">IF($A41&lt;I$48,"",IFERROR(MAX(ROUND(_N*(((VLOOKUP(Type,Vehicles[],2+USC?,0))+$A41-SQRT($A41^2-VLOOKUP(Type,Vehicles[],8+USC?,0)))+_C)+(_N-1)*(SQRT($A41^2+VLOOKUP(Type,Vehicles[],4+USC?,0)*(2*VLOOKUP(Type,Vehicles[],6+USC?,0)+VLOOKUP(Type,Vehicles[],4+USC?,0)))-$A41)+IF(USC?,1,0.1)*(I$6/SQRT($A41))-_N/2*_Wn,1),0),""))</f>
        <v/>
      </c>
      <c r="J41" s="4" t="str">
        <f ca="1">IF($A41&lt;J$48,"",IFERROR(MAX(ROUND(_N*(((VLOOKUP(Type,Vehicles[],2+USC?,0))+$A41-SQRT($A41^2-VLOOKUP(Type,Vehicles[],8+USC?,0)))+_C)+(_N-1)*(SQRT($A41^2+VLOOKUP(Type,Vehicles[],4+USC?,0)*(2*VLOOKUP(Type,Vehicles[],6+USC?,0)+VLOOKUP(Type,Vehicles[],4+USC?,0)))-$A41)+IF(USC?,1,0.1)*(J$6/SQRT($A41))-_N/2*_Wn,1),0),""))</f>
        <v/>
      </c>
      <c r="K41" s="4" t="str">
        <f ca="1">IF($A41&lt;K$48,"",IFERROR(MAX(ROUND(_N*(((VLOOKUP(Type,Vehicles[],2+USC?,0))+$A41-SQRT($A41^2-VLOOKUP(Type,Vehicles[],8+USC?,0)))+_C)+(_N-1)*(SQRT($A41^2+VLOOKUP(Type,Vehicles[],4+USC?,0)*(2*VLOOKUP(Type,Vehicles[],6+USC?,0)+VLOOKUP(Type,Vehicles[],4+USC?,0)))-$A41)+IF(USC?,1,0.1)*(K$6/SQRT($A41))-_N/2*_Wn,1),0),""))</f>
        <v/>
      </c>
      <c r="L41" s="4" t="str">
        <f ca="1">IF($A41&lt;L$48,"",IFERROR(MAX(ROUND(_N*(((VLOOKUP(Type,Vehicles[],2+USC?,0))+$A41-SQRT($A41^2-VLOOKUP(Type,Vehicles[],8+USC?,0)))+_C)+(_N-1)*(SQRT($A41^2+VLOOKUP(Type,Vehicles[],4+USC?,0)*(2*VLOOKUP(Type,Vehicles[],6+USC?,0)+VLOOKUP(Type,Vehicles[],4+USC?,0)))-$A41)+IF(USC?,1,0.1)*(L$6/SQRT($A41))-_N/2*_Wn,1),0),""))</f>
        <v/>
      </c>
      <c r="M41" s="4" t="str">
        <f ca="1">IF($A41&lt;M$48,"",IFERROR(MAX(ROUND(_N*(((VLOOKUP(Type,Vehicles[],2+USC?,0))+$A41-SQRT($A41^2-VLOOKUP(Type,Vehicles[],8+USC?,0)))+_C)+(_N-1)*(SQRT($A41^2+VLOOKUP(Type,Vehicles[],4+USC?,0)*(2*VLOOKUP(Type,Vehicles[],6+USC?,0)+VLOOKUP(Type,Vehicles[],4+USC?,0)))-$A41)+IF(USC?,1,0.1)*(M$6/SQRT($A41))-_N/2*_Wn,1),0),""))</f>
        <v/>
      </c>
      <c r="N41" s="4" t="str">
        <f ca="1">IF($A41&lt;N$48,"",IFERROR(MAX(ROUND(_N*(((VLOOKUP(Type,Vehicles[],2+USC?,0))+$A41-SQRT($A41^2-VLOOKUP(Type,Vehicles[],8+USC?,0)))+_C)+(_N-1)*(SQRT($A41^2+VLOOKUP(Type,Vehicles[],4+USC?,0)*(2*VLOOKUP(Type,Vehicles[],6+USC?,0)+VLOOKUP(Type,Vehicles[],4+USC?,0)))-$A41)+IF(USC?,1,0.1)*(N$6/SQRT($A41))-_N/2*_Wn,1),0),""))</f>
        <v/>
      </c>
      <c r="O41" s="4" t="str">
        <f ca="1">IF($A41&lt;O$48,"",IFERROR(MAX(ROUND(_N*(((VLOOKUP(Type,Vehicles[],2+USC?,0))+$A41-SQRT($A41^2-VLOOKUP(Type,Vehicles[],8+USC?,0)))+_C)+(_N-1)*(SQRT($A41^2+VLOOKUP(Type,Vehicles[],4+USC?,0)*(2*VLOOKUP(Type,Vehicles[],6+USC?,0)+VLOOKUP(Type,Vehicles[],4+USC?,0)))-$A41)+IF(USC?,1,0.1)*(O$6/SQRT($A41))-_N/2*_Wn,1),0),""))</f>
        <v/>
      </c>
      <c r="P41" s="4" t="str">
        <f ca="1">IF($A41&lt;P$48,"",IFERROR(MAX(ROUND(_N*(((VLOOKUP(Type,Vehicles[],2+USC?,0))+$A41-SQRT($A41^2-VLOOKUP(Type,Vehicles[],8+USC?,0)))+_C)+(_N-1)*(SQRT($A41^2+VLOOKUP(Type,Vehicles[],4+USC?,0)*(2*VLOOKUP(Type,Vehicles[],6+USC?,0)+VLOOKUP(Type,Vehicles[],4+USC?,0)))-$A41)+IF(USC?,1,0.1)*(P$6/SQRT($A41))-_N/2*_Wn,1),0),""))</f>
        <v/>
      </c>
    </row>
    <row r="42" spans="1:16" x14ac:dyDescent="0.2">
      <c r="A42" s="22" t="str">
        <f ca="1">IFERROR(INDEX(Radius.List[Radius],ROW(A42)-ROW(A$6)-1+IF(LEN(Max.Radius)&gt;0,MATCH(Max.Radius,Radius.List[Radius],0)-1,IFERROR(MATCH(IF(USC?,1.6,0.5),Radius.List[Widening],1)-1,0))),"")</f>
        <v/>
      </c>
      <c r="B42" s="4" t="str">
        <f ca="1">IF($A42&lt;B$48,"",IFERROR(MAX(ROUND(_N*(((VLOOKUP(Type,Vehicles[],2+USC?,0))+$A42-SQRT($A42^2-VLOOKUP(Type,Vehicles[],8+USC?,0)))+_C)+(_N-1)*(SQRT($A42^2+VLOOKUP(Type,Vehicles[],4+USC?,0)*(2*VLOOKUP(Type,Vehicles[],6+USC?,0)+VLOOKUP(Type,Vehicles[],4+USC?,0)))-$A42)+IF(USC?,1,0.1)*(B$6/SQRT($A42))-_N/2*_Wn,1),0),""))</f>
        <v/>
      </c>
      <c r="C42" s="4" t="str">
        <f ca="1">IF($A42&lt;C$48,"",IFERROR(MAX(ROUND(_N*(((VLOOKUP(Type,Vehicles[],2+USC?,0))+$A42-SQRT($A42^2-VLOOKUP(Type,Vehicles[],8+USC?,0)))+_C)+(_N-1)*(SQRT($A42^2+VLOOKUP(Type,Vehicles[],4+USC?,0)*(2*VLOOKUP(Type,Vehicles[],6+USC?,0)+VLOOKUP(Type,Vehicles[],4+USC?,0)))-$A42)+IF(USC?,1,0.1)*(C$6/SQRT($A42))-_N/2*_Wn,1),0),""))</f>
        <v/>
      </c>
      <c r="D42" s="4" t="str">
        <f ca="1">IF($A42&lt;D$48,"",IFERROR(MAX(ROUND(_N*(((VLOOKUP(Type,Vehicles[],2+USC?,0))+$A42-SQRT($A42^2-VLOOKUP(Type,Vehicles[],8+USC?,0)))+_C)+(_N-1)*(SQRT($A42^2+VLOOKUP(Type,Vehicles[],4+USC?,0)*(2*VLOOKUP(Type,Vehicles[],6+USC?,0)+VLOOKUP(Type,Vehicles[],4+USC?,0)))-$A42)+IF(USC?,1,0.1)*(D$6/SQRT($A42))-_N/2*_Wn,1),0),""))</f>
        <v/>
      </c>
      <c r="E42" s="4" t="str">
        <f ca="1">IF($A42&lt;E$48,"",IFERROR(MAX(ROUND(_N*(((VLOOKUP(Type,Vehicles[],2+USC?,0))+$A42-SQRT($A42^2-VLOOKUP(Type,Vehicles[],8+USC?,0)))+_C)+(_N-1)*(SQRT($A42^2+VLOOKUP(Type,Vehicles[],4+USC?,0)*(2*VLOOKUP(Type,Vehicles[],6+USC?,0)+VLOOKUP(Type,Vehicles[],4+USC?,0)))-$A42)+IF(USC?,1,0.1)*(E$6/SQRT($A42))-_N/2*_Wn,1),0),""))</f>
        <v/>
      </c>
      <c r="F42" s="4" t="str">
        <f ca="1">IF($A42&lt;F$48,"",IFERROR(MAX(ROUND(_N*(((VLOOKUP(Type,Vehicles[],2+USC?,0))+$A42-SQRT($A42^2-VLOOKUP(Type,Vehicles[],8+USC?,0)))+_C)+(_N-1)*(SQRT($A42^2+VLOOKUP(Type,Vehicles[],4+USC?,0)*(2*VLOOKUP(Type,Vehicles[],6+USC?,0)+VLOOKUP(Type,Vehicles[],4+USC?,0)))-$A42)+IF(USC?,1,0.1)*(F$6/SQRT($A42))-_N/2*_Wn,1),0),""))</f>
        <v/>
      </c>
      <c r="G42" s="4" t="str">
        <f ca="1">IF($A42&lt;G$48,"",IFERROR(MAX(ROUND(_N*(((VLOOKUP(Type,Vehicles[],2+USC?,0))+$A42-SQRT($A42^2-VLOOKUP(Type,Vehicles[],8+USC?,0)))+_C)+(_N-1)*(SQRT($A42^2+VLOOKUP(Type,Vehicles[],4+USC?,0)*(2*VLOOKUP(Type,Vehicles[],6+USC?,0)+VLOOKUP(Type,Vehicles[],4+USC?,0)))-$A42)+IF(USC?,1,0.1)*(G$6/SQRT($A42))-_N/2*_Wn,1),0),""))</f>
        <v/>
      </c>
      <c r="H42" s="4" t="str">
        <f ca="1">IF($A42&lt;H$48,"",IFERROR(MAX(ROUND(_N*(((VLOOKUP(Type,Vehicles[],2+USC?,0))+$A42-SQRT($A42^2-VLOOKUP(Type,Vehicles[],8+USC?,0)))+_C)+(_N-1)*(SQRT($A42^2+VLOOKUP(Type,Vehicles[],4+USC?,0)*(2*VLOOKUP(Type,Vehicles[],6+USC?,0)+VLOOKUP(Type,Vehicles[],4+USC?,0)))-$A42)+IF(USC?,1,0.1)*(H$6/SQRT($A42))-_N/2*_Wn,1),0),""))</f>
        <v/>
      </c>
      <c r="I42" s="4" t="str">
        <f ca="1">IF($A42&lt;I$48,"",IFERROR(MAX(ROUND(_N*(((VLOOKUP(Type,Vehicles[],2+USC?,0))+$A42-SQRT($A42^2-VLOOKUP(Type,Vehicles[],8+USC?,0)))+_C)+(_N-1)*(SQRT($A42^2+VLOOKUP(Type,Vehicles[],4+USC?,0)*(2*VLOOKUP(Type,Vehicles[],6+USC?,0)+VLOOKUP(Type,Vehicles[],4+USC?,0)))-$A42)+IF(USC?,1,0.1)*(I$6/SQRT($A42))-_N/2*_Wn,1),0),""))</f>
        <v/>
      </c>
      <c r="J42" s="4" t="str">
        <f ca="1">IF($A42&lt;J$48,"",IFERROR(MAX(ROUND(_N*(((VLOOKUP(Type,Vehicles[],2+USC?,0))+$A42-SQRT($A42^2-VLOOKUP(Type,Vehicles[],8+USC?,0)))+_C)+(_N-1)*(SQRT($A42^2+VLOOKUP(Type,Vehicles[],4+USC?,0)*(2*VLOOKUP(Type,Vehicles[],6+USC?,0)+VLOOKUP(Type,Vehicles[],4+USC?,0)))-$A42)+IF(USC?,1,0.1)*(J$6/SQRT($A42))-_N/2*_Wn,1),0),""))</f>
        <v/>
      </c>
      <c r="K42" s="4" t="str">
        <f ca="1">IF($A42&lt;K$48,"",IFERROR(MAX(ROUND(_N*(((VLOOKUP(Type,Vehicles[],2+USC?,0))+$A42-SQRT($A42^2-VLOOKUP(Type,Vehicles[],8+USC?,0)))+_C)+(_N-1)*(SQRT($A42^2+VLOOKUP(Type,Vehicles[],4+USC?,0)*(2*VLOOKUP(Type,Vehicles[],6+USC?,0)+VLOOKUP(Type,Vehicles[],4+USC?,0)))-$A42)+IF(USC?,1,0.1)*(K$6/SQRT($A42))-_N/2*_Wn,1),0),""))</f>
        <v/>
      </c>
      <c r="L42" s="4" t="str">
        <f ca="1">IF($A42&lt;L$48,"",IFERROR(MAX(ROUND(_N*(((VLOOKUP(Type,Vehicles[],2+USC?,0))+$A42-SQRT($A42^2-VLOOKUP(Type,Vehicles[],8+USC?,0)))+_C)+(_N-1)*(SQRT($A42^2+VLOOKUP(Type,Vehicles[],4+USC?,0)*(2*VLOOKUP(Type,Vehicles[],6+USC?,0)+VLOOKUP(Type,Vehicles[],4+USC?,0)))-$A42)+IF(USC?,1,0.1)*(L$6/SQRT($A42))-_N/2*_Wn,1),0),""))</f>
        <v/>
      </c>
      <c r="M42" s="4" t="str">
        <f ca="1">IF($A42&lt;M$48,"",IFERROR(MAX(ROUND(_N*(((VLOOKUP(Type,Vehicles[],2+USC?,0))+$A42-SQRT($A42^2-VLOOKUP(Type,Vehicles[],8+USC?,0)))+_C)+(_N-1)*(SQRT($A42^2+VLOOKUP(Type,Vehicles[],4+USC?,0)*(2*VLOOKUP(Type,Vehicles[],6+USC?,0)+VLOOKUP(Type,Vehicles[],4+USC?,0)))-$A42)+IF(USC?,1,0.1)*(M$6/SQRT($A42))-_N/2*_Wn,1),0),""))</f>
        <v/>
      </c>
      <c r="N42" s="4" t="str">
        <f ca="1">IF($A42&lt;N$48,"",IFERROR(MAX(ROUND(_N*(((VLOOKUP(Type,Vehicles[],2+USC?,0))+$A42-SQRT($A42^2-VLOOKUP(Type,Vehicles[],8+USC?,0)))+_C)+(_N-1)*(SQRT($A42^2+VLOOKUP(Type,Vehicles[],4+USC?,0)*(2*VLOOKUP(Type,Vehicles[],6+USC?,0)+VLOOKUP(Type,Vehicles[],4+USC?,0)))-$A42)+IF(USC?,1,0.1)*(N$6/SQRT($A42))-_N/2*_Wn,1),0),""))</f>
        <v/>
      </c>
      <c r="O42" s="4" t="str">
        <f ca="1">IF($A42&lt;O$48,"",IFERROR(MAX(ROUND(_N*(((VLOOKUP(Type,Vehicles[],2+USC?,0))+$A42-SQRT($A42^2-VLOOKUP(Type,Vehicles[],8+USC?,0)))+_C)+(_N-1)*(SQRT($A42^2+VLOOKUP(Type,Vehicles[],4+USC?,0)*(2*VLOOKUP(Type,Vehicles[],6+USC?,0)+VLOOKUP(Type,Vehicles[],4+USC?,0)))-$A42)+IF(USC?,1,0.1)*(O$6/SQRT($A42))-_N/2*_Wn,1),0),""))</f>
        <v/>
      </c>
      <c r="P42" s="4" t="str">
        <f ca="1">IF($A42&lt;P$48,"",IFERROR(MAX(ROUND(_N*(((VLOOKUP(Type,Vehicles[],2+USC?,0))+$A42-SQRT($A42^2-VLOOKUP(Type,Vehicles[],8+USC?,0)))+_C)+(_N-1)*(SQRT($A42^2+VLOOKUP(Type,Vehicles[],4+USC?,0)*(2*VLOOKUP(Type,Vehicles[],6+USC?,0)+VLOOKUP(Type,Vehicles[],4+USC?,0)))-$A42)+IF(USC?,1,0.1)*(P$6/SQRT($A42))-_N/2*_Wn,1),0),""))</f>
        <v/>
      </c>
    </row>
    <row r="43" spans="1:16" x14ac:dyDescent="0.2">
      <c r="A43" s="22" t="str">
        <f ca="1">IFERROR(INDEX(Radius.List[Radius],ROW(A43)-ROW(A$6)-1+IF(LEN(Max.Radius)&gt;0,MATCH(Max.Radius,Radius.List[Radius],0)-1,IFERROR(MATCH(IF(USC?,1.6,0.5),Radius.List[Widening],1)-1,0))),"")</f>
        <v/>
      </c>
      <c r="B43" s="4" t="str">
        <f ca="1">IF($A43&lt;B$48,"",IFERROR(MAX(ROUND(_N*(((VLOOKUP(Type,Vehicles[],2+USC?,0))+$A43-SQRT($A43^2-VLOOKUP(Type,Vehicles[],8+USC?,0)))+_C)+(_N-1)*(SQRT($A43^2+VLOOKUP(Type,Vehicles[],4+USC?,0)*(2*VLOOKUP(Type,Vehicles[],6+USC?,0)+VLOOKUP(Type,Vehicles[],4+USC?,0)))-$A43)+IF(USC?,1,0.1)*(B$6/SQRT($A43))-_N/2*_Wn,1),0),""))</f>
        <v/>
      </c>
      <c r="C43" s="4" t="str">
        <f ca="1">IF($A43&lt;C$48,"",IFERROR(MAX(ROUND(_N*(((VLOOKUP(Type,Vehicles[],2+USC?,0))+$A43-SQRT($A43^2-VLOOKUP(Type,Vehicles[],8+USC?,0)))+_C)+(_N-1)*(SQRT($A43^2+VLOOKUP(Type,Vehicles[],4+USC?,0)*(2*VLOOKUP(Type,Vehicles[],6+USC?,0)+VLOOKUP(Type,Vehicles[],4+USC?,0)))-$A43)+IF(USC?,1,0.1)*(C$6/SQRT($A43))-_N/2*_Wn,1),0),""))</f>
        <v/>
      </c>
      <c r="D43" s="4" t="str">
        <f ca="1">IF($A43&lt;D$48,"",IFERROR(MAX(ROUND(_N*(((VLOOKUP(Type,Vehicles[],2+USC?,0))+$A43-SQRT($A43^2-VLOOKUP(Type,Vehicles[],8+USC?,0)))+_C)+(_N-1)*(SQRT($A43^2+VLOOKUP(Type,Vehicles[],4+USC?,0)*(2*VLOOKUP(Type,Vehicles[],6+USC?,0)+VLOOKUP(Type,Vehicles[],4+USC?,0)))-$A43)+IF(USC?,1,0.1)*(D$6/SQRT($A43))-_N/2*_Wn,1),0),""))</f>
        <v/>
      </c>
      <c r="E43" s="4" t="str">
        <f ca="1">IF($A43&lt;E$48,"",IFERROR(MAX(ROUND(_N*(((VLOOKUP(Type,Vehicles[],2+USC?,0))+$A43-SQRT($A43^2-VLOOKUP(Type,Vehicles[],8+USC?,0)))+_C)+(_N-1)*(SQRT($A43^2+VLOOKUP(Type,Vehicles[],4+USC?,0)*(2*VLOOKUP(Type,Vehicles[],6+USC?,0)+VLOOKUP(Type,Vehicles[],4+USC?,0)))-$A43)+IF(USC?,1,0.1)*(E$6/SQRT($A43))-_N/2*_Wn,1),0),""))</f>
        <v/>
      </c>
      <c r="F43" s="4" t="str">
        <f ca="1">IF($A43&lt;F$48,"",IFERROR(MAX(ROUND(_N*(((VLOOKUP(Type,Vehicles[],2+USC?,0))+$A43-SQRT($A43^2-VLOOKUP(Type,Vehicles[],8+USC?,0)))+_C)+(_N-1)*(SQRT($A43^2+VLOOKUP(Type,Vehicles[],4+USC?,0)*(2*VLOOKUP(Type,Vehicles[],6+USC?,0)+VLOOKUP(Type,Vehicles[],4+USC?,0)))-$A43)+IF(USC?,1,0.1)*(F$6/SQRT($A43))-_N/2*_Wn,1),0),""))</f>
        <v/>
      </c>
      <c r="G43" s="4" t="str">
        <f ca="1">IF($A43&lt;G$48,"",IFERROR(MAX(ROUND(_N*(((VLOOKUP(Type,Vehicles[],2+USC?,0))+$A43-SQRT($A43^2-VLOOKUP(Type,Vehicles[],8+USC?,0)))+_C)+(_N-1)*(SQRT($A43^2+VLOOKUP(Type,Vehicles[],4+USC?,0)*(2*VLOOKUP(Type,Vehicles[],6+USC?,0)+VLOOKUP(Type,Vehicles[],4+USC?,0)))-$A43)+IF(USC?,1,0.1)*(G$6/SQRT($A43))-_N/2*_Wn,1),0),""))</f>
        <v/>
      </c>
      <c r="H43" s="4" t="str">
        <f ca="1">IF($A43&lt;H$48,"",IFERROR(MAX(ROUND(_N*(((VLOOKUP(Type,Vehicles[],2+USC?,0))+$A43-SQRT($A43^2-VLOOKUP(Type,Vehicles[],8+USC?,0)))+_C)+(_N-1)*(SQRT($A43^2+VLOOKUP(Type,Vehicles[],4+USC?,0)*(2*VLOOKUP(Type,Vehicles[],6+USC?,0)+VLOOKUP(Type,Vehicles[],4+USC?,0)))-$A43)+IF(USC?,1,0.1)*(H$6/SQRT($A43))-_N/2*_Wn,1),0),""))</f>
        <v/>
      </c>
      <c r="I43" s="4" t="str">
        <f ca="1">IF($A43&lt;I$48,"",IFERROR(MAX(ROUND(_N*(((VLOOKUP(Type,Vehicles[],2+USC?,0))+$A43-SQRT($A43^2-VLOOKUP(Type,Vehicles[],8+USC?,0)))+_C)+(_N-1)*(SQRT($A43^2+VLOOKUP(Type,Vehicles[],4+USC?,0)*(2*VLOOKUP(Type,Vehicles[],6+USC?,0)+VLOOKUP(Type,Vehicles[],4+USC?,0)))-$A43)+IF(USC?,1,0.1)*(I$6/SQRT($A43))-_N/2*_Wn,1),0),""))</f>
        <v/>
      </c>
      <c r="J43" s="4" t="str">
        <f ca="1">IF($A43&lt;J$48,"",IFERROR(MAX(ROUND(_N*(((VLOOKUP(Type,Vehicles[],2+USC?,0))+$A43-SQRT($A43^2-VLOOKUP(Type,Vehicles[],8+USC?,0)))+_C)+(_N-1)*(SQRT($A43^2+VLOOKUP(Type,Vehicles[],4+USC?,0)*(2*VLOOKUP(Type,Vehicles[],6+USC?,0)+VLOOKUP(Type,Vehicles[],4+USC?,0)))-$A43)+IF(USC?,1,0.1)*(J$6/SQRT($A43))-_N/2*_Wn,1),0),""))</f>
        <v/>
      </c>
      <c r="K43" s="4" t="str">
        <f ca="1">IF($A43&lt;K$48,"",IFERROR(MAX(ROUND(_N*(((VLOOKUP(Type,Vehicles[],2+USC?,0))+$A43-SQRT($A43^2-VLOOKUP(Type,Vehicles[],8+USC?,0)))+_C)+(_N-1)*(SQRT($A43^2+VLOOKUP(Type,Vehicles[],4+USC?,0)*(2*VLOOKUP(Type,Vehicles[],6+USC?,0)+VLOOKUP(Type,Vehicles[],4+USC?,0)))-$A43)+IF(USC?,1,0.1)*(K$6/SQRT($A43))-_N/2*_Wn,1),0),""))</f>
        <v/>
      </c>
      <c r="L43" s="4" t="str">
        <f ca="1">IF($A43&lt;L$48,"",IFERROR(MAX(ROUND(_N*(((VLOOKUP(Type,Vehicles[],2+USC?,0))+$A43-SQRT($A43^2-VLOOKUP(Type,Vehicles[],8+USC?,0)))+_C)+(_N-1)*(SQRT($A43^2+VLOOKUP(Type,Vehicles[],4+USC?,0)*(2*VLOOKUP(Type,Vehicles[],6+USC?,0)+VLOOKUP(Type,Vehicles[],4+USC?,0)))-$A43)+IF(USC?,1,0.1)*(L$6/SQRT($A43))-_N/2*_Wn,1),0),""))</f>
        <v/>
      </c>
      <c r="M43" s="4" t="str">
        <f ca="1">IF($A43&lt;M$48,"",IFERROR(MAX(ROUND(_N*(((VLOOKUP(Type,Vehicles[],2+USC?,0))+$A43-SQRT($A43^2-VLOOKUP(Type,Vehicles[],8+USC?,0)))+_C)+(_N-1)*(SQRT($A43^2+VLOOKUP(Type,Vehicles[],4+USC?,0)*(2*VLOOKUP(Type,Vehicles[],6+USC?,0)+VLOOKUP(Type,Vehicles[],4+USC?,0)))-$A43)+IF(USC?,1,0.1)*(M$6/SQRT($A43))-_N/2*_Wn,1),0),""))</f>
        <v/>
      </c>
      <c r="N43" s="4" t="str">
        <f ca="1">IF($A43&lt;N$48,"",IFERROR(MAX(ROUND(_N*(((VLOOKUP(Type,Vehicles[],2+USC?,0))+$A43-SQRT($A43^2-VLOOKUP(Type,Vehicles[],8+USC?,0)))+_C)+(_N-1)*(SQRT($A43^2+VLOOKUP(Type,Vehicles[],4+USC?,0)*(2*VLOOKUP(Type,Vehicles[],6+USC?,0)+VLOOKUP(Type,Vehicles[],4+USC?,0)))-$A43)+IF(USC?,1,0.1)*(N$6/SQRT($A43))-_N/2*_Wn,1),0),""))</f>
        <v/>
      </c>
      <c r="O43" s="4" t="str">
        <f ca="1">IF($A43&lt;O$48,"",IFERROR(MAX(ROUND(_N*(((VLOOKUP(Type,Vehicles[],2+USC?,0))+$A43-SQRT($A43^2-VLOOKUP(Type,Vehicles[],8+USC?,0)))+_C)+(_N-1)*(SQRT($A43^2+VLOOKUP(Type,Vehicles[],4+USC?,0)*(2*VLOOKUP(Type,Vehicles[],6+USC?,0)+VLOOKUP(Type,Vehicles[],4+USC?,0)))-$A43)+IF(USC?,1,0.1)*(O$6/SQRT($A43))-_N/2*_Wn,1),0),""))</f>
        <v/>
      </c>
      <c r="P43" s="4" t="str">
        <f ca="1">IF($A43&lt;P$48,"",IFERROR(MAX(ROUND(_N*(((VLOOKUP(Type,Vehicles[],2+USC?,0))+$A43-SQRT($A43^2-VLOOKUP(Type,Vehicles[],8+USC?,0)))+_C)+(_N-1)*(SQRT($A43^2+VLOOKUP(Type,Vehicles[],4+USC?,0)*(2*VLOOKUP(Type,Vehicles[],6+USC?,0)+VLOOKUP(Type,Vehicles[],4+USC?,0)))-$A43)+IF(USC?,1,0.1)*(P$6/SQRT($A43))-_N/2*_Wn,1),0),""))</f>
        <v/>
      </c>
    </row>
    <row r="44" spans="1:16" x14ac:dyDescent="0.2">
      <c r="A44" s="22" t="str">
        <f ca="1">IFERROR(INDEX(Radius.List[Radius],ROW(A44)-ROW(A$6)-1+IF(LEN(Max.Radius)&gt;0,MATCH(Max.Radius,Radius.List[Radius],0)-1,IFERROR(MATCH(IF(USC?,1.6,0.5),Radius.List[Widening],1)-1,0))),"")</f>
        <v/>
      </c>
      <c r="B44" s="4" t="str">
        <f ca="1">IF($A44&lt;B$48,"",IFERROR(MAX(ROUND(_N*(((VLOOKUP(Type,Vehicles[],2+USC?,0))+$A44-SQRT($A44^2-VLOOKUP(Type,Vehicles[],8+USC?,0)))+_C)+(_N-1)*(SQRT($A44^2+VLOOKUP(Type,Vehicles[],4+USC?,0)*(2*VLOOKUP(Type,Vehicles[],6+USC?,0)+VLOOKUP(Type,Vehicles[],4+USC?,0)))-$A44)+IF(USC?,1,0.1)*(B$6/SQRT($A44))-_N/2*_Wn,1),0),""))</f>
        <v/>
      </c>
      <c r="C44" s="4" t="str">
        <f ca="1">IF($A44&lt;C$48,"",IFERROR(MAX(ROUND(_N*(((VLOOKUP(Type,Vehicles[],2+USC?,0))+$A44-SQRT($A44^2-VLOOKUP(Type,Vehicles[],8+USC?,0)))+_C)+(_N-1)*(SQRT($A44^2+VLOOKUP(Type,Vehicles[],4+USC?,0)*(2*VLOOKUP(Type,Vehicles[],6+USC?,0)+VLOOKUP(Type,Vehicles[],4+USC?,0)))-$A44)+IF(USC?,1,0.1)*(C$6/SQRT($A44))-_N/2*_Wn,1),0),""))</f>
        <v/>
      </c>
      <c r="D44" s="4" t="str">
        <f ca="1">IF($A44&lt;D$48,"",IFERROR(MAX(ROUND(_N*(((VLOOKUP(Type,Vehicles[],2+USC?,0))+$A44-SQRT($A44^2-VLOOKUP(Type,Vehicles[],8+USC?,0)))+_C)+(_N-1)*(SQRT($A44^2+VLOOKUP(Type,Vehicles[],4+USC?,0)*(2*VLOOKUP(Type,Vehicles[],6+USC?,0)+VLOOKUP(Type,Vehicles[],4+USC?,0)))-$A44)+IF(USC?,1,0.1)*(D$6/SQRT($A44))-_N/2*_Wn,1),0),""))</f>
        <v/>
      </c>
      <c r="E44" s="4" t="str">
        <f ca="1">IF($A44&lt;E$48,"",IFERROR(MAX(ROUND(_N*(((VLOOKUP(Type,Vehicles[],2+USC?,0))+$A44-SQRT($A44^2-VLOOKUP(Type,Vehicles[],8+USC?,0)))+_C)+(_N-1)*(SQRT($A44^2+VLOOKUP(Type,Vehicles[],4+USC?,0)*(2*VLOOKUP(Type,Vehicles[],6+USC?,0)+VLOOKUP(Type,Vehicles[],4+USC?,0)))-$A44)+IF(USC?,1,0.1)*(E$6/SQRT($A44))-_N/2*_Wn,1),0),""))</f>
        <v/>
      </c>
      <c r="F44" s="4" t="str">
        <f ca="1">IF($A44&lt;F$48,"",IFERROR(MAX(ROUND(_N*(((VLOOKUP(Type,Vehicles[],2+USC?,0))+$A44-SQRT($A44^2-VLOOKUP(Type,Vehicles[],8+USC?,0)))+_C)+(_N-1)*(SQRT($A44^2+VLOOKUP(Type,Vehicles[],4+USC?,0)*(2*VLOOKUP(Type,Vehicles[],6+USC?,0)+VLOOKUP(Type,Vehicles[],4+USC?,0)))-$A44)+IF(USC?,1,0.1)*(F$6/SQRT($A44))-_N/2*_Wn,1),0),""))</f>
        <v/>
      </c>
      <c r="G44" s="4" t="str">
        <f ca="1">IF($A44&lt;G$48,"",IFERROR(MAX(ROUND(_N*(((VLOOKUP(Type,Vehicles[],2+USC?,0))+$A44-SQRT($A44^2-VLOOKUP(Type,Vehicles[],8+USC?,0)))+_C)+(_N-1)*(SQRT($A44^2+VLOOKUP(Type,Vehicles[],4+USC?,0)*(2*VLOOKUP(Type,Vehicles[],6+USC?,0)+VLOOKUP(Type,Vehicles[],4+USC?,0)))-$A44)+IF(USC?,1,0.1)*(G$6/SQRT($A44))-_N/2*_Wn,1),0),""))</f>
        <v/>
      </c>
      <c r="H44" s="4" t="str">
        <f ca="1">IF($A44&lt;H$48,"",IFERROR(MAX(ROUND(_N*(((VLOOKUP(Type,Vehicles[],2+USC?,0))+$A44-SQRT($A44^2-VLOOKUP(Type,Vehicles[],8+USC?,0)))+_C)+(_N-1)*(SQRT($A44^2+VLOOKUP(Type,Vehicles[],4+USC?,0)*(2*VLOOKUP(Type,Vehicles[],6+USC?,0)+VLOOKUP(Type,Vehicles[],4+USC?,0)))-$A44)+IF(USC?,1,0.1)*(H$6/SQRT($A44))-_N/2*_Wn,1),0),""))</f>
        <v/>
      </c>
      <c r="I44" s="4" t="str">
        <f ca="1">IF($A44&lt;I$48,"",IFERROR(MAX(ROUND(_N*(((VLOOKUP(Type,Vehicles[],2+USC?,0))+$A44-SQRT($A44^2-VLOOKUP(Type,Vehicles[],8+USC?,0)))+_C)+(_N-1)*(SQRT($A44^2+VLOOKUP(Type,Vehicles[],4+USC?,0)*(2*VLOOKUP(Type,Vehicles[],6+USC?,0)+VLOOKUP(Type,Vehicles[],4+USC?,0)))-$A44)+IF(USC?,1,0.1)*(I$6/SQRT($A44))-_N/2*_Wn,1),0),""))</f>
        <v/>
      </c>
      <c r="J44" s="4" t="str">
        <f ca="1">IF($A44&lt;J$48,"",IFERROR(MAX(ROUND(_N*(((VLOOKUP(Type,Vehicles[],2+USC?,0))+$A44-SQRT($A44^2-VLOOKUP(Type,Vehicles[],8+USC?,0)))+_C)+(_N-1)*(SQRT($A44^2+VLOOKUP(Type,Vehicles[],4+USC?,0)*(2*VLOOKUP(Type,Vehicles[],6+USC?,0)+VLOOKUP(Type,Vehicles[],4+USC?,0)))-$A44)+IF(USC?,1,0.1)*(J$6/SQRT($A44))-_N/2*_Wn,1),0),""))</f>
        <v/>
      </c>
      <c r="K44" s="4" t="str">
        <f ca="1">IF($A44&lt;K$48,"",IFERROR(MAX(ROUND(_N*(((VLOOKUP(Type,Vehicles[],2+USC?,0))+$A44-SQRT($A44^2-VLOOKUP(Type,Vehicles[],8+USC?,0)))+_C)+(_N-1)*(SQRT($A44^2+VLOOKUP(Type,Vehicles[],4+USC?,0)*(2*VLOOKUP(Type,Vehicles[],6+USC?,0)+VLOOKUP(Type,Vehicles[],4+USC?,0)))-$A44)+IF(USC?,1,0.1)*(K$6/SQRT($A44))-_N/2*_Wn,1),0),""))</f>
        <v/>
      </c>
      <c r="L44" s="4" t="str">
        <f ca="1">IF($A44&lt;L$48,"",IFERROR(MAX(ROUND(_N*(((VLOOKUP(Type,Vehicles[],2+USC?,0))+$A44-SQRT($A44^2-VLOOKUP(Type,Vehicles[],8+USC?,0)))+_C)+(_N-1)*(SQRT($A44^2+VLOOKUP(Type,Vehicles[],4+USC?,0)*(2*VLOOKUP(Type,Vehicles[],6+USC?,0)+VLOOKUP(Type,Vehicles[],4+USC?,0)))-$A44)+IF(USC?,1,0.1)*(L$6/SQRT($A44))-_N/2*_Wn,1),0),""))</f>
        <v/>
      </c>
      <c r="M44" s="4" t="str">
        <f ca="1">IF($A44&lt;M$48,"",IFERROR(MAX(ROUND(_N*(((VLOOKUP(Type,Vehicles[],2+USC?,0))+$A44-SQRT($A44^2-VLOOKUP(Type,Vehicles[],8+USC?,0)))+_C)+(_N-1)*(SQRT($A44^2+VLOOKUP(Type,Vehicles[],4+USC?,0)*(2*VLOOKUP(Type,Vehicles[],6+USC?,0)+VLOOKUP(Type,Vehicles[],4+USC?,0)))-$A44)+IF(USC?,1,0.1)*(M$6/SQRT($A44))-_N/2*_Wn,1),0),""))</f>
        <v/>
      </c>
      <c r="N44" s="4" t="str">
        <f ca="1">IF($A44&lt;N$48,"",IFERROR(MAX(ROUND(_N*(((VLOOKUP(Type,Vehicles[],2+USC?,0))+$A44-SQRT($A44^2-VLOOKUP(Type,Vehicles[],8+USC?,0)))+_C)+(_N-1)*(SQRT($A44^2+VLOOKUP(Type,Vehicles[],4+USC?,0)*(2*VLOOKUP(Type,Vehicles[],6+USC?,0)+VLOOKUP(Type,Vehicles[],4+USC?,0)))-$A44)+IF(USC?,1,0.1)*(N$6/SQRT($A44))-_N/2*_Wn,1),0),""))</f>
        <v/>
      </c>
      <c r="O44" s="4" t="str">
        <f ca="1">IF($A44&lt;O$48,"",IFERROR(MAX(ROUND(_N*(((VLOOKUP(Type,Vehicles[],2+USC?,0))+$A44-SQRT($A44^2-VLOOKUP(Type,Vehicles[],8+USC?,0)))+_C)+(_N-1)*(SQRT($A44^2+VLOOKUP(Type,Vehicles[],4+USC?,0)*(2*VLOOKUP(Type,Vehicles[],6+USC?,0)+VLOOKUP(Type,Vehicles[],4+USC?,0)))-$A44)+IF(USC?,1,0.1)*(O$6/SQRT($A44))-_N/2*_Wn,1),0),""))</f>
        <v/>
      </c>
      <c r="P44" s="4" t="str">
        <f ca="1">IF($A44&lt;P$48,"",IFERROR(MAX(ROUND(_N*(((VLOOKUP(Type,Vehicles[],2+USC?,0))+$A44-SQRT($A44^2-VLOOKUP(Type,Vehicles[],8+USC?,0)))+_C)+(_N-1)*(SQRT($A44^2+VLOOKUP(Type,Vehicles[],4+USC?,0)*(2*VLOOKUP(Type,Vehicles[],6+USC?,0)+VLOOKUP(Type,Vehicles[],4+USC?,0)))-$A44)+IF(USC?,1,0.1)*(P$6/SQRT($A44))-_N/2*_Wn,1),0),""))</f>
        <v/>
      </c>
    </row>
    <row r="45" spans="1:16" x14ac:dyDescent="0.2">
      <c r="A45" s="22" t="str">
        <f ca="1">IFERROR(INDEX(Radius.List[Radius],ROW(A45)-ROW(A$6)-1+IF(LEN(Max.Radius)&gt;0,MATCH(Max.Radius,Radius.List[Radius],0)-1,IFERROR(MATCH(IF(USC?,1.6,0.5),Radius.List[Widening],1)-1,0))),"")</f>
        <v/>
      </c>
      <c r="B45" s="4" t="str">
        <f ca="1">IF($A45&lt;B$48,"",IFERROR(MAX(ROUND(_N*(((VLOOKUP(Type,Vehicles[],2+USC?,0))+$A45-SQRT($A45^2-VLOOKUP(Type,Vehicles[],8+USC?,0)))+_C)+(_N-1)*(SQRT($A45^2+VLOOKUP(Type,Vehicles[],4+USC?,0)*(2*VLOOKUP(Type,Vehicles[],6+USC?,0)+VLOOKUP(Type,Vehicles[],4+USC?,0)))-$A45)+IF(USC?,1,0.1)*(B$6/SQRT($A45))-_N/2*_Wn,1),0),""))</f>
        <v/>
      </c>
      <c r="C45" s="4" t="str">
        <f ca="1">IF($A45&lt;C$48,"",IFERROR(MAX(ROUND(_N*(((VLOOKUP(Type,Vehicles[],2+USC?,0))+$A45-SQRT($A45^2-VLOOKUP(Type,Vehicles[],8+USC?,0)))+_C)+(_N-1)*(SQRT($A45^2+VLOOKUP(Type,Vehicles[],4+USC?,0)*(2*VLOOKUP(Type,Vehicles[],6+USC?,0)+VLOOKUP(Type,Vehicles[],4+USC?,0)))-$A45)+IF(USC?,1,0.1)*(C$6/SQRT($A45))-_N/2*_Wn,1),0),""))</f>
        <v/>
      </c>
      <c r="D45" s="4" t="str">
        <f ca="1">IF($A45&lt;D$48,"",IFERROR(MAX(ROUND(_N*(((VLOOKUP(Type,Vehicles[],2+USC?,0))+$A45-SQRT($A45^2-VLOOKUP(Type,Vehicles[],8+USC?,0)))+_C)+(_N-1)*(SQRT($A45^2+VLOOKUP(Type,Vehicles[],4+USC?,0)*(2*VLOOKUP(Type,Vehicles[],6+USC?,0)+VLOOKUP(Type,Vehicles[],4+USC?,0)))-$A45)+IF(USC?,1,0.1)*(D$6/SQRT($A45))-_N/2*_Wn,1),0),""))</f>
        <v/>
      </c>
      <c r="E45" s="4" t="str">
        <f ca="1">IF($A45&lt;E$48,"",IFERROR(MAX(ROUND(_N*(((VLOOKUP(Type,Vehicles[],2+USC?,0))+$A45-SQRT($A45^2-VLOOKUP(Type,Vehicles[],8+USC?,0)))+_C)+(_N-1)*(SQRT($A45^2+VLOOKUP(Type,Vehicles[],4+USC?,0)*(2*VLOOKUP(Type,Vehicles[],6+USC?,0)+VLOOKUP(Type,Vehicles[],4+USC?,0)))-$A45)+IF(USC?,1,0.1)*(E$6/SQRT($A45))-_N/2*_Wn,1),0),""))</f>
        <v/>
      </c>
      <c r="F45" s="4" t="str">
        <f ca="1">IF($A45&lt;F$48,"",IFERROR(MAX(ROUND(_N*(((VLOOKUP(Type,Vehicles[],2+USC?,0))+$A45-SQRT($A45^2-VLOOKUP(Type,Vehicles[],8+USC?,0)))+_C)+(_N-1)*(SQRT($A45^2+VLOOKUP(Type,Vehicles[],4+USC?,0)*(2*VLOOKUP(Type,Vehicles[],6+USC?,0)+VLOOKUP(Type,Vehicles[],4+USC?,0)))-$A45)+IF(USC?,1,0.1)*(F$6/SQRT($A45))-_N/2*_Wn,1),0),""))</f>
        <v/>
      </c>
      <c r="G45" s="4" t="str">
        <f ca="1">IF($A45&lt;G$48,"",IFERROR(MAX(ROUND(_N*(((VLOOKUP(Type,Vehicles[],2+USC?,0))+$A45-SQRT($A45^2-VLOOKUP(Type,Vehicles[],8+USC?,0)))+_C)+(_N-1)*(SQRT($A45^2+VLOOKUP(Type,Vehicles[],4+USC?,0)*(2*VLOOKUP(Type,Vehicles[],6+USC?,0)+VLOOKUP(Type,Vehicles[],4+USC?,0)))-$A45)+IF(USC?,1,0.1)*(G$6/SQRT($A45))-_N/2*_Wn,1),0),""))</f>
        <v/>
      </c>
      <c r="H45" s="4" t="str">
        <f ca="1">IF($A45&lt;H$48,"",IFERROR(MAX(ROUND(_N*(((VLOOKUP(Type,Vehicles[],2+USC?,0))+$A45-SQRT($A45^2-VLOOKUP(Type,Vehicles[],8+USC?,0)))+_C)+(_N-1)*(SQRT($A45^2+VLOOKUP(Type,Vehicles[],4+USC?,0)*(2*VLOOKUP(Type,Vehicles[],6+USC?,0)+VLOOKUP(Type,Vehicles[],4+USC?,0)))-$A45)+IF(USC?,1,0.1)*(H$6/SQRT($A45))-_N/2*_Wn,1),0),""))</f>
        <v/>
      </c>
      <c r="I45" s="4" t="str">
        <f ca="1">IF($A45&lt;I$48,"",IFERROR(MAX(ROUND(_N*(((VLOOKUP(Type,Vehicles[],2+USC?,0))+$A45-SQRT($A45^2-VLOOKUP(Type,Vehicles[],8+USC?,0)))+_C)+(_N-1)*(SQRT($A45^2+VLOOKUP(Type,Vehicles[],4+USC?,0)*(2*VLOOKUP(Type,Vehicles[],6+USC?,0)+VLOOKUP(Type,Vehicles[],4+USC?,0)))-$A45)+IF(USC?,1,0.1)*(I$6/SQRT($A45))-_N/2*_Wn,1),0),""))</f>
        <v/>
      </c>
      <c r="J45" s="4" t="str">
        <f ca="1">IF($A45&lt;J$48,"",IFERROR(MAX(ROUND(_N*(((VLOOKUP(Type,Vehicles[],2+USC?,0))+$A45-SQRT($A45^2-VLOOKUP(Type,Vehicles[],8+USC?,0)))+_C)+(_N-1)*(SQRT($A45^2+VLOOKUP(Type,Vehicles[],4+USC?,0)*(2*VLOOKUP(Type,Vehicles[],6+USC?,0)+VLOOKUP(Type,Vehicles[],4+USC?,0)))-$A45)+IF(USC?,1,0.1)*(J$6/SQRT($A45))-_N/2*_Wn,1),0),""))</f>
        <v/>
      </c>
      <c r="K45" s="4" t="str">
        <f ca="1">IF($A45&lt;K$48,"",IFERROR(MAX(ROUND(_N*(((VLOOKUP(Type,Vehicles[],2+USC?,0))+$A45-SQRT($A45^2-VLOOKUP(Type,Vehicles[],8+USC?,0)))+_C)+(_N-1)*(SQRT($A45^2+VLOOKUP(Type,Vehicles[],4+USC?,0)*(2*VLOOKUP(Type,Vehicles[],6+USC?,0)+VLOOKUP(Type,Vehicles[],4+USC?,0)))-$A45)+IF(USC?,1,0.1)*(K$6/SQRT($A45))-_N/2*_Wn,1),0),""))</f>
        <v/>
      </c>
      <c r="L45" s="4" t="str">
        <f ca="1">IF($A45&lt;L$48,"",IFERROR(MAX(ROUND(_N*(((VLOOKUP(Type,Vehicles[],2+USC?,0))+$A45-SQRT($A45^2-VLOOKUP(Type,Vehicles[],8+USC?,0)))+_C)+(_N-1)*(SQRT($A45^2+VLOOKUP(Type,Vehicles[],4+USC?,0)*(2*VLOOKUP(Type,Vehicles[],6+USC?,0)+VLOOKUP(Type,Vehicles[],4+USC?,0)))-$A45)+IF(USC?,1,0.1)*(L$6/SQRT($A45))-_N/2*_Wn,1),0),""))</f>
        <v/>
      </c>
      <c r="M45" s="4" t="str">
        <f ca="1">IF($A45&lt;M$48,"",IFERROR(MAX(ROUND(_N*(((VLOOKUP(Type,Vehicles[],2+USC?,0))+$A45-SQRT($A45^2-VLOOKUP(Type,Vehicles[],8+USC?,0)))+_C)+(_N-1)*(SQRT($A45^2+VLOOKUP(Type,Vehicles[],4+USC?,0)*(2*VLOOKUP(Type,Vehicles[],6+USC?,0)+VLOOKUP(Type,Vehicles[],4+USC?,0)))-$A45)+IF(USC?,1,0.1)*(M$6/SQRT($A45))-_N/2*_Wn,1),0),""))</f>
        <v/>
      </c>
      <c r="N45" s="4" t="str">
        <f ca="1">IF($A45&lt;N$48,"",IFERROR(MAX(ROUND(_N*(((VLOOKUP(Type,Vehicles[],2+USC?,0))+$A45-SQRT($A45^2-VLOOKUP(Type,Vehicles[],8+USC?,0)))+_C)+(_N-1)*(SQRT($A45^2+VLOOKUP(Type,Vehicles[],4+USC?,0)*(2*VLOOKUP(Type,Vehicles[],6+USC?,0)+VLOOKUP(Type,Vehicles[],4+USC?,0)))-$A45)+IF(USC?,1,0.1)*(N$6/SQRT($A45))-_N/2*_Wn,1),0),""))</f>
        <v/>
      </c>
      <c r="O45" s="4" t="str">
        <f ca="1">IF($A45&lt;O$48,"",IFERROR(MAX(ROUND(_N*(((VLOOKUP(Type,Vehicles[],2+USC?,0))+$A45-SQRT($A45^2-VLOOKUP(Type,Vehicles[],8+USC?,0)))+_C)+(_N-1)*(SQRT($A45^2+VLOOKUP(Type,Vehicles[],4+USC?,0)*(2*VLOOKUP(Type,Vehicles[],6+USC?,0)+VLOOKUP(Type,Vehicles[],4+USC?,0)))-$A45)+IF(USC?,1,0.1)*(O$6/SQRT($A45))-_N/2*_Wn,1),0),""))</f>
        <v/>
      </c>
      <c r="P45" s="4" t="str">
        <f ca="1">IF($A45&lt;P$48,"",IFERROR(MAX(ROUND(_N*(((VLOOKUP(Type,Vehicles[],2+USC?,0))+$A45-SQRT($A45^2-VLOOKUP(Type,Vehicles[],8+USC?,0)))+_C)+(_N-1)*(SQRT($A45^2+VLOOKUP(Type,Vehicles[],4+USC?,0)*(2*VLOOKUP(Type,Vehicles[],6+USC?,0)+VLOOKUP(Type,Vehicles[],4+USC?,0)))-$A45)+IF(USC?,1,0.1)*(P$6/SQRT($A45))-_N/2*_Wn,1),0),""))</f>
        <v/>
      </c>
    </row>
    <row r="46" spans="1:16" x14ac:dyDescent="0.2">
      <c r="A46" s="22" t="str">
        <f ca="1">IFERROR(INDEX(Radius.List[Radius],ROW(A46)-ROW(A$6)-1+IF(LEN(Max.Radius)&gt;0,MATCH(Max.Radius,Radius.List[Radius],0)-1,IFERROR(MATCH(IF(USC?,1.6,0.5),Radius.List[Widening],1)-1,0))),"")</f>
        <v/>
      </c>
      <c r="B46" s="4" t="str">
        <f ca="1">IF($A46&lt;B$48,"",IFERROR(MAX(ROUND(_N*(((VLOOKUP(Type,Vehicles[],2+USC?,0))+$A46-SQRT($A46^2-VLOOKUP(Type,Vehicles[],8+USC?,0)))+_C)+(_N-1)*(SQRT($A46^2+VLOOKUP(Type,Vehicles[],4+USC?,0)*(2*VLOOKUP(Type,Vehicles[],6+USC?,0)+VLOOKUP(Type,Vehicles[],4+USC?,0)))-$A46)+IF(USC?,1,0.1)*(B$6/SQRT($A46))-_N/2*_Wn,1),0),""))</f>
        <v/>
      </c>
      <c r="C46" s="4" t="str">
        <f ca="1">IF($A46&lt;C$48,"",IFERROR(MAX(ROUND(_N*(((VLOOKUP(Type,Vehicles[],2+USC?,0))+$A46-SQRT($A46^2-VLOOKUP(Type,Vehicles[],8+USC?,0)))+_C)+(_N-1)*(SQRT($A46^2+VLOOKUP(Type,Vehicles[],4+USC?,0)*(2*VLOOKUP(Type,Vehicles[],6+USC?,0)+VLOOKUP(Type,Vehicles[],4+USC?,0)))-$A46)+IF(USC?,1,0.1)*(C$6/SQRT($A46))-_N/2*_Wn,1),0),""))</f>
        <v/>
      </c>
      <c r="D46" s="4" t="str">
        <f ca="1">IF($A46&lt;D$48,"",IFERROR(MAX(ROUND(_N*(((VLOOKUP(Type,Vehicles[],2+USC?,0))+$A46-SQRT($A46^2-VLOOKUP(Type,Vehicles[],8+USC?,0)))+_C)+(_N-1)*(SQRT($A46^2+VLOOKUP(Type,Vehicles[],4+USC?,0)*(2*VLOOKUP(Type,Vehicles[],6+USC?,0)+VLOOKUP(Type,Vehicles[],4+USC?,0)))-$A46)+IF(USC?,1,0.1)*(D$6/SQRT($A46))-_N/2*_Wn,1),0),""))</f>
        <v/>
      </c>
      <c r="E46" s="4" t="str">
        <f ca="1">IF($A46&lt;E$48,"",IFERROR(MAX(ROUND(_N*(((VLOOKUP(Type,Vehicles[],2+USC?,0))+$A46-SQRT($A46^2-VLOOKUP(Type,Vehicles[],8+USC?,0)))+_C)+(_N-1)*(SQRT($A46^2+VLOOKUP(Type,Vehicles[],4+USC?,0)*(2*VLOOKUP(Type,Vehicles[],6+USC?,0)+VLOOKUP(Type,Vehicles[],4+USC?,0)))-$A46)+IF(USC?,1,0.1)*(E$6/SQRT($A46))-_N/2*_Wn,1),0),""))</f>
        <v/>
      </c>
      <c r="F46" s="4" t="str">
        <f ca="1">IF($A46&lt;F$48,"",IFERROR(MAX(ROUND(_N*(((VLOOKUP(Type,Vehicles[],2+USC?,0))+$A46-SQRT($A46^2-VLOOKUP(Type,Vehicles[],8+USC?,0)))+_C)+(_N-1)*(SQRT($A46^2+VLOOKUP(Type,Vehicles[],4+USC?,0)*(2*VLOOKUP(Type,Vehicles[],6+USC?,0)+VLOOKUP(Type,Vehicles[],4+USC?,0)))-$A46)+IF(USC?,1,0.1)*(F$6/SQRT($A46))-_N/2*_Wn,1),0),""))</f>
        <v/>
      </c>
      <c r="G46" s="4" t="str">
        <f ca="1">IF($A46&lt;G$48,"",IFERROR(MAX(ROUND(_N*(((VLOOKUP(Type,Vehicles[],2+USC?,0))+$A46-SQRT($A46^2-VLOOKUP(Type,Vehicles[],8+USC?,0)))+_C)+(_N-1)*(SQRT($A46^2+VLOOKUP(Type,Vehicles[],4+USC?,0)*(2*VLOOKUP(Type,Vehicles[],6+USC?,0)+VLOOKUP(Type,Vehicles[],4+USC?,0)))-$A46)+IF(USC?,1,0.1)*(G$6/SQRT($A46))-_N/2*_Wn,1),0),""))</f>
        <v/>
      </c>
      <c r="H46" s="4" t="str">
        <f ca="1">IF($A46&lt;H$48,"",IFERROR(MAX(ROUND(_N*(((VLOOKUP(Type,Vehicles[],2+USC?,0))+$A46-SQRT($A46^2-VLOOKUP(Type,Vehicles[],8+USC?,0)))+_C)+(_N-1)*(SQRT($A46^2+VLOOKUP(Type,Vehicles[],4+USC?,0)*(2*VLOOKUP(Type,Vehicles[],6+USC?,0)+VLOOKUP(Type,Vehicles[],4+USC?,0)))-$A46)+IF(USC?,1,0.1)*(H$6/SQRT($A46))-_N/2*_Wn,1),0),""))</f>
        <v/>
      </c>
      <c r="I46" s="4" t="str">
        <f ca="1">IF($A46&lt;I$48,"",IFERROR(MAX(ROUND(_N*(((VLOOKUP(Type,Vehicles[],2+USC?,0))+$A46-SQRT($A46^2-VLOOKUP(Type,Vehicles[],8+USC?,0)))+_C)+(_N-1)*(SQRT($A46^2+VLOOKUP(Type,Vehicles[],4+USC?,0)*(2*VLOOKUP(Type,Vehicles[],6+USC?,0)+VLOOKUP(Type,Vehicles[],4+USC?,0)))-$A46)+IF(USC?,1,0.1)*(I$6/SQRT($A46))-_N/2*_Wn,1),0),""))</f>
        <v/>
      </c>
      <c r="J46" s="4" t="str">
        <f ca="1">IF($A46&lt;J$48,"",IFERROR(MAX(ROUND(_N*(((VLOOKUP(Type,Vehicles[],2+USC?,0))+$A46-SQRT($A46^2-VLOOKUP(Type,Vehicles[],8+USC?,0)))+_C)+(_N-1)*(SQRT($A46^2+VLOOKUP(Type,Vehicles[],4+USC?,0)*(2*VLOOKUP(Type,Vehicles[],6+USC?,0)+VLOOKUP(Type,Vehicles[],4+USC?,0)))-$A46)+IF(USC?,1,0.1)*(J$6/SQRT($A46))-_N/2*_Wn,1),0),""))</f>
        <v/>
      </c>
      <c r="K46" s="4" t="str">
        <f ca="1">IF($A46&lt;K$48,"",IFERROR(MAX(ROUND(_N*(((VLOOKUP(Type,Vehicles[],2+USC?,0))+$A46-SQRT($A46^2-VLOOKUP(Type,Vehicles[],8+USC?,0)))+_C)+(_N-1)*(SQRT($A46^2+VLOOKUP(Type,Vehicles[],4+USC?,0)*(2*VLOOKUP(Type,Vehicles[],6+USC?,0)+VLOOKUP(Type,Vehicles[],4+USC?,0)))-$A46)+IF(USC?,1,0.1)*(K$6/SQRT($A46))-_N/2*_Wn,1),0),""))</f>
        <v/>
      </c>
      <c r="L46" s="4" t="str">
        <f ca="1">IF($A46&lt;L$48,"",IFERROR(MAX(ROUND(_N*(((VLOOKUP(Type,Vehicles[],2+USC?,0))+$A46-SQRT($A46^2-VLOOKUP(Type,Vehicles[],8+USC?,0)))+_C)+(_N-1)*(SQRT($A46^2+VLOOKUP(Type,Vehicles[],4+USC?,0)*(2*VLOOKUP(Type,Vehicles[],6+USC?,0)+VLOOKUP(Type,Vehicles[],4+USC?,0)))-$A46)+IF(USC?,1,0.1)*(L$6/SQRT($A46))-_N/2*_Wn,1),0),""))</f>
        <v/>
      </c>
      <c r="M46" s="4" t="str">
        <f ca="1">IF($A46&lt;M$48,"",IFERROR(MAX(ROUND(_N*(((VLOOKUP(Type,Vehicles[],2+USC?,0))+$A46-SQRT($A46^2-VLOOKUP(Type,Vehicles[],8+USC?,0)))+_C)+(_N-1)*(SQRT($A46^2+VLOOKUP(Type,Vehicles[],4+USC?,0)*(2*VLOOKUP(Type,Vehicles[],6+USC?,0)+VLOOKUP(Type,Vehicles[],4+USC?,0)))-$A46)+IF(USC?,1,0.1)*(M$6/SQRT($A46))-_N/2*_Wn,1),0),""))</f>
        <v/>
      </c>
      <c r="N46" s="4" t="str">
        <f ca="1">IF($A46&lt;N$48,"",IFERROR(MAX(ROUND(_N*(((VLOOKUP(Type,Vehicles[],2+USC?,0))+$A46-SQRT($A46^2-VLOOKUP(Type,Vehicles[],8+USC?,0)))+_C)+(_N-1)*(SQRT($A46^2+VLOOKUP(Type,Vehicles[],4+USC?,0)*(2*VLOOKUP(Type,Vehicles[],6+USC?,0)+VLOOKUP(Type,Vehicles[],4+USC?,0)))-$A46)+IF(USC?,1,0.1)*(N$6/SQRT($A46))-_N/2*_Wn,1),0),""))</f>
        <v/>
      </c>
      <c r="O46" s="4" t="str">
        <f ca="1">IF($A46&lt;O$48,"",IFERROR(MAX(ROUND(_N*(((VLOOKUP(Type,Vehicles[],2+USC?,0))+$A46-SQRT($A46^2-VLOOKUP(Type,Vehicles[],8+USC?,0)))+_C)+(_N-1)*(SQRT($A46^2+VLOOKUP(Type,Vehicles[],4+USC?,0)*(2*VLOOKUP(Type,Vehicles[],6+USC?,0)+VLOOKUP(Type,Vehicles[],4+USC?,0)))-$A46)+IF(USC?,1,0.1)*(O$6/SQRT($A46))-_N/2*_Wn,1),0),""))</f>
        <v/>
      </c>
      <c r="P46" s="4" t="str">
        <f ca="1">IF($A46&lt;P$48,"",IFERROR(MAX(ROUND(_N*(((VLOOKUP(Type,Vehicles[],2+USC?,0))+$A46-SQRT($A46^2-VLOOKUP(Type,Vehicles[],8+USC?,0)))+_C)+(_N-1)*(SQRT($A46^2+VLOOKUP(Type,Vehicles[],4+USC?,0)*(2*VLOOKUP(Type,Vehicles[],6+USC?,0)+VLOOKUP(Type,Vehicles[],4+USC?,0)))-$A46)+IF(USC?,1,0.1)*(P$6/SQRT($A46))-_N/2*_Wn,1),0),""))</f>
        <v/>
      </c>
    </row>
    <row r="47" spans="1:16" x14ac:dyDescent="0.2">
      <c r="B47" t="str">
        <f>"Note:  Values less than "&amp;IF(USC?,"2 feet","0.6 meters")&amp;" may be disregarded"</f>
        <v>Note:  Values less than 2 feet may be disregarded</v>
      </c>
    </row>
    <row r="48" spans="1:16" x14ac:dyDescent="0.2">
      <c r="A48" s="20" t="s">
        <v>3</v>
      </c>
      <c r="B48" s="21">
        <f ca="1">IFERROR(INDEX(IF(USC?,Speeds[Rmin (USC)],Speeds[Rmin (Metric)]),MATCH(B$6,Speeds[Design Speed],0)),"")</f>
        <v>13</v>
      </c>
      <c r="C48" s="21">
        <f ca="1">IFERROR(INDEX(IF(USC?,Speeds[Rmin (USC)],Speeds[Rmin (Metric)]),MATCH(C$6,Speeds[Design Speed],0)),"")</f>
        <v>34</v>
      </c>
      <c r="D48" s="21">
        <f ca="1">IFERROR(INDEX(IF(USC?,Speeds[Rmin (USC)],Speeds[Rmin (Metric)]),MATCH(D$6,Speeds[Design Speed],0)),"")</f>
        <v>68</v>
      </c>
      <c r="E48" s="21">
        <f ca="1">IFERROR(INDEX(IF(USC?,Speeds[Rmin (USC)],Speeds[Rmin (Metric)]),MATCH(E$6,Speeds[Design Speed],0)),"")</f>
        <v>119</v>
      </c>
      <c r="F48" s="21">
        <f ca="1">IFERROR(INDEX(IF(USC?,Speeds[Rmin (USC)],Speeds[Rmin (Metric)]),MATCH(F$6,Speeds[Design Speed],0)),"")</f>
        <v>188</v>
      </c>
      <c r="G48" s="21">
        <f ca="1">IFERROR(INDEX(IF(USC?,Speeds[Rmin (USC)],Speeds[Rmin (Metric)]),MATCH(G$6,Speeds[Design Speed],0)),"")</f>
        <v>272</v>
      </c>
      <c r="H48" s="21">
        <f ca="1">IFERROR(INDEX(IF(USC?,Speeds[Rmin (USC)],Speeds[Rmin (Metric)]),MATCH(H$6,Speeds[Design Speed],0)),"")</f>
        <v>381</v>
      </c>
      <c r="I48" s="21">
        <f ca="1">IFERROR(INDEX(IF(USC?,Speeds[Rmin (USC)],Speeds[Rmin (Metric)]),MATCH(I$6,Speeds[Design Speed],0)),"")</f>
        <v>500</v>
      </c>
      <c r="J48" s="21">
        <f ca="1">IFERROR(INDEX(IF(USC?,Speeds[Rmin (USC)],Speeds[Rmin (Metric)]),MATCH(J$6,Speeds[Design Speed],0)),"")</f>
        <v>641</v>
      </c>
      <c r="K48" s="21">
        <f ca="1">IFERROR(INDEX(IF(USC?,Speeds[Rmin (USC)],Speeds[Rmin (Metric)]),MATCH(K$6,Speeds[Design Speed],0)),"")</f>
        <v>807</v>
      </c>
      <c r="L48" s="21">
        <f ca="1">IFERROR(INDEX(IF(USC?,Speeds[Rmin (USC)],Speeds[Rmin (Metric)]),MATCH(L$6,Speeds[Design Speed],0)),"")</f>
        <v>1000</v>
      </c>
      <c r="M48" s="21">
        <f ca="1">IFERROR(INDEX(IF(USC?,Speeds[Rmin (USC)],Speeds[Rmin (Metric)]),MATCH(M$6,Speeds[Design Speed],0)),"")</f>
        <v>1220</v>
      </c>
      <c r="N48" s="21">
        <f ca="1">IFERROR(INDEX(IF(USC?,Speeds[Rmin (USC)],Speeds[Rmin (Metric)]),MATCH(N$6,Speeds[Design Speed],0)),"")</f>
        <v>1480</v>
      </c>
      <c r="O48" s="21">
        <f ca="1">IFERROR(INDEX(IF(USC?,Speeds[Rmin (USC)],Speeds[Rmin (Metric)]),MATCH(O$6,Speeds[Design Speed],0)),"")</f>
        <v>1790</v>
      </c>
      <c r="P48" s="21">
        <f ca="1">IFERROR(INDEX(IF(USC?,Speeds[Rmin (USC)],Speeds[Rmin (Metric)]),MATCH(P$6,Speeds[Design Speed],0)),"")</f>
        <v>2130</v>
      </c>
    </row>
    <row r="50" spans="1:2" x14ac:dyDescent="0.2">
      <c r="A50" s="25">
        <v>0.12</v>
      </c>
      <c r="B50" t="s">
        <v>4</v>
      </c>
    </row>
    <row r="51" spans="1:2" x14ac:dyDescent="0.2">
      <c r="A51" s="30"/>
      <c r="B51" t="str">
        <f>"Minimum speed ("&amp;IF(USC?,"mph","km/h")&amp;")"</f>
        <v>Minimum speed (mph)</v>
      </c>
    </row>
    <row r="52" spans="1:2" x14ac:dyDescent="0.2">
      <c r="A52" s="31"/>
      <c r="B52" t="str">
        <f>"Maximum radius ("&amp;IF(USC?,"ft","m")&amp;")"</f>
        <v>Maximum radius (ft)</v>
      </c>
    </row>
    <row r="53" spans="1:2" x14ac:dyDescent="0.2">
      <c r="A53" s="26"/>
      <c r="B53" t="str">
        <f>"User input lateral clearance per vehicle ("&amp;IF(USC?,"ft","m")&amp;")"</f>
        <v>User input lateral clearance per vehicle (ft)</v>
      </c>
    </row>
    <row r="54" spans="1:2" x14ac:dyDescent="0.2">
      <c r="A54" s="1">
        <f>IF(A53&gt;0,A53,VLOOKUP(_Wn,C.values[],2,0))</f>
        <v>2.5</v>
      </c>
      <c r="B54" t="str">
        <f>"Lateral clearance per vehicle ("&amp;IF(USC?,"ft","m")&amp;")"&amp;IF(A53&gt;0," ** USER INPUT VALUE **",IF(OR(_Wn=18,_Wn=5.4)," ** ASSUMED VALUE **",""))</f>
        <v>Lateral clearance per vehicle (ft)</v>
      </c>
    </row>
    <row r="55" spans="1:2" x14ac:dyDescent="0.2">
      <c r="A55" t="b">
        <f>A3&gt;10</f>
        <v>1</v>
      </c>
      <c r="B55" s="7" t="s">
        <v>79</v>
      </c>
    </row>
  </sheetData>
  <sheetProtection sheet="1" objects="1" scenarios="1"/>
  <phoneticPr fontId="0" type="noConversion"/>
  <conditionalFormatting sqref="B4">
    <cfRule type="expression" dxfId="40" priority="11" stopIfTrue="1">
      <formula>OR(_Wn=18,_Wn=5.4)</formula>
    </cfRule>
  </conditionalFormatting>
  <conditionalFormatting sqref="B48:P48 B6:P46">
    <cfRule type="expression" dxfId="39" priority="6">
      <formula>LEN(B$6)=0</formula>
    </cfRule>
  </conditionalFormatting>
  <conditionalFormatting sqref="B7:P46">
    <cfRule type="expression" dxfId="38" priority="8" stopIfTrue="1">
      <formula>OR(AND(USC?,B7&lt;2),AND(NOT(USC?),B7&lt;0.6))</formula>
    </cfRule>
    <cfRule type="expression" dxfId="37" priority="10" stopIfTrue="1">
      <formula>OR(AND(USC?,B7&gt;=2,OFFSET(B7,-1,0)&lt;2),AND(NOT(USC?),B7&gt;=0.6,OFFSET(B7,-1,0)&lt;0.6))</formula>
    </cfRule>
  </conditionalFormatting>
  <conditionalFormatting sqref="B6:P46">
    <cfRule type="expression" dxfId="36" priority="9" stopIfTrue="1">
      <formula>LEN(B6)=0</formula>
    </cfRule>
  </conditionalFormatting>
  <dataValidations count="7">
    <dataValidation type="list" allowBlank="1" showInputMessage="1" showErrorMessage="1" promptTitle="Traveled Way width" prompt="Choose US Customary or Metric width" sqref="A3">
      <formula1>"18,20,22,24,5.4,6,6.6,7.2"</formula1>
    </dataValidation>
    <dataValidation type="decimal" allowBlank="1" showInputMessage="1" showErrorMessage="1" errorTitle="Error" error="Invalid superelevation value" promptTitle="Maximum superelevation" prompt="Does not affect curve widening calculations; just sets the minimum radius for the particular design speed.  Normally keep at 12%." sqref="A50">
      <formula1>0.02</formula1>
      <formula2>0.25</formula2>
    </dataValidation>
    <dataValidation type="decimal" operator="greaterThan" allowBlank="1" showInputMessage="1" showErrorMessage="1" errorTitle="Error" error="Value must be greater than zero." promptTitle="Alternate lateral clearance" prompt="Any value placed here will override the default C value shown below.  Normally this should be left blank." sqref="A53">
      <formula1>0</formula1>
    </dataValidation>
    <dataValidation type="decimal" operator="greaterThan" allowBlank="1" showInputMessage="1" showErrorMessage="1" errorTitle="Error" error="Radius must be greater than zero" promptTitle="Number of Lanes" prompt="Input number of lanes" sqref="A2">
      <formula1>0</formula1>
    </dataValidation>
    <dataValidation type="decimal" operator="greaterThan" allowBlank="1" showInputMessage="1" showErrorMessage="1" errorTitle="Error" error="Radius must be greater than zero" promptTitle="User defined radius" prompt="Enter any radius" sqref="A7">
      <formula1>0</formula1>
    </dataValidation>
    <dataValidation allowBlank="1" showInputMessage="1" showErrorMessage="1" promptTitle="Minimum Speed" prompt="If desired, enter the minimum design speed to show in the chart.  Leave blank to show all speeds." sqref="A51"/>
    <dataValidation allowBlank="1" showInputMessage="1" showErrorMessage="1" promptTitle="Maximum Curve Radius" prompt="If desired insert a maximum curve radius to show in the chart.  If left blank the maximum radius is calculated based on the design vehicle and traveled way width." sqref="A52"/>
  </dataValidations>
  <pageMargins left="0.5" right="0.5" top="0.5" bottom="0.5" header="0.5" footer="0.5"/>
  <pageSetup orientation="landscape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Design Vehicle" prompt="Select desired design vehicle.  Use WB-62 [19] to match Green Book Table 3-26.">
          <x14:formula1>
            <xm:f>Values!$L$3:$L$22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showGridLines="0" workbookViewId="0"/>
  </sheetViews>
  <sheetFormatPr defaultColWidth="10.7109375" defaultRowHeight="12.75" x14ac:dyDescent="0.2"/>
  <cols>
    <col min="1" max="1" width="5.7109375" customWidth="1"/>
    <col min="8" max="8" width="5.7109375" customWidth="1"/>
    <col min="11" max="11" width="5.7109375" customWidth="1"/>
  </cols>
  <sheetData>
    <row r="1" spans="1:38" ht="20.25" x14ac:dyDescent="0.3">
      <c r="A1" s="27" t="s">
        <v>23</v>
      </c>
      <c r="B1" s="27"/>
      <c r="C1" s="27"/>
    </row>
    <row r="2" spans="1:38" ht="15.75" x14ac:dyDescent="0.3">
      <c r="A2" s="7" t="s">
        <v>86</v>
      </c>
      <c r="I2" s="1" t="s">
        <v>21</v>
      </c>
      <c r="J2" s="1" t="s">
        <v>25</v>
      </c>
      <c r="L2" s="12" t="s">
        <v>73</v>
      </c>
      <c r="M2" s="1" t="s">
        <v>50</v>
      </c>
      <c r="N2" s="1" t="s">
        <v>51</v>
      </c>
      <c r="O2" s="1" t="s">
        <v>52</v>
      </c>
      <c r="P2" s="1" t="s">
        <v>53</v>
      </c>
      <c r="Q2" s="1" t="s">
        <v>54</v>
      </c>
      <c r="R2" s="1" t="s">
        <v>55</v>
      </c>
      <c r="S2" s="12" t="s">
        <v>84</v>
      </c>
      <c r="T2" s="12" t="s">
        <v>85</v>
      </c>
      <c r="U2" s="12" t="s">
        <v>61</v>
      </c>
      <c r="V2" s="12" t="s">
        <v>66</v>
      </c>
      <c r="W2" s="12" t="s">
        <v>67</v>
      </c>
      <c r="X2" s="12" t="s">
        <v>68</v>
      </c>
      <c r="Y2" s="12" t="s">
        <v>64</v>
      </c>
      <c r="Z2" s="12" t="s">
        <v>65</v>
      </c>
      <c r="AA2" s="12" t="s">
        <v>69</v>
      </c>
      <c r="AB2" s="12" t="s">
        <v>70</v>
      </c>
      <c r="AC2" s="12" t="s">
        <v>71</v>
      </c>
      <c r="AD2" s="12" t="s">
        <v>72</v>
      </c>
      <c r="AE2" s="12" t="s">
        <v>75</v>
      </c>
      <c r="AF2" s="12" t="s">
        <v>74</v>
      </c>
      <c r="AG2" s="12" t="s">
        <v>80</v>
      </c>
      <c r="AH2" s="12" t="s">
        <v>81</v>
      </c>
      <c r="AI2" s="12" t="s">
        <v>82</v>
      </c>
      <c r="AJ2" s="12" t="s">
        <v>83</v>
      </c>
      <c r="AK2" s="12" t="s">
        <v>62</v>
      </c>
      <c r="AL2" s="12" t="s">
        <v>63</v>
      </c>
    </row>
    <row r="3" spans="1:38" x14ac:dyDescent="0.2">
      <c r="A3" s="29" t="s">
        <v>87</v>
      </c>
      <c r="B3" s="7" t="s">
        <v>88</v>
      </c>
      <c r="D3" s="7" t="s">
        <v>59</v>
      </c>
      <c r="I3" s="9">
        <v>5.4</v>
      </c>
      <c r="J3" s="10">
        <v>0.45</v>
      </c>
      <c r="L3" t="s">
        <v>5</v>
      </c>
      <c r="M3" s="1">
        <f t="shared" ref="M3:M22" si="0">ROUND(CONVERT(N3,"ft","m"),2)</f>
        <v>1.83</v>
      </c>
      <c r="N3" s="1">
        <v>6</v>
      </c>
      <c r="O3" s="1">
        <f>ROUND(CONVERT(P3,"ft","m"),2)</f>
        <v>0.91</v>
      </c>
      <c r="P3" s="1">
        <v>3</v>
      </c>
      <c r="Q3" s="1">
        <f t="shared" ref="Q3:Q22" si="1">ROUND(CONVERT(R3,"ft","m"),2)</f>
        <v>3.35</v>
      </c>
      <c r="R3" s="1">
        <v>11</v>
      </c>
      <c r="S3" s="1">
        <f t="shared" ref="S3:S22" si="2">SIGN(Q3)*Q3^2+SIGN(U3)*U3^2+SIGN(W3)*W3^2+SIGN(Y3)*Y3^2+SIGN(AA3)*AA3^2+SIGN(AC3)*AC3^2+SIGN(AE3)*AE3^2+SIGN(AG3)*AG3^2+SIGN(AI3)*AI3^2</f>
        <v>11.2225</v>
      </c>
      <c r="T3" s="1">
        <f t="shared" ref="T3:T22" si="3">SIGN(R3)*R3^2+SIGN(V3)*V3^2+SIGN(X3)*X3^2+SIGN(Z3)*Z3^2+SIGN(AB3)*AB3^2+SIGN(AD3)*AD3^2+SIGN(AF3)*AF3^2+SIGN(AH3)*AH3^2+SIGN(AJ3)*AJ3^2</f>
        <v>121</v>
      </c>
      <c r="U3" s="1">
        <f t="shared" ref="U3:U22" si="4">ROUND(CONVERT(V3,"ft","m"),2)</f>
        <v>0</v>
      </c>
      <c r="V3" s="1"/>
      <c r="W3" s="1">
        <f t="shared" ref="W3:W22" si="5">ROUND(CONVERT(X3,"ft","m"),2)</f>
        <v>0</v>
      </c>
      <c r="X3" s="1"/>
      <c r="Y3" s="1">
        <f t="shared" ref="Y3:Y22" si="6">ROUND(CONVERT(Z3,"ft","m"),2)</f>
        <v>0</v>
      </c>
      <c r="Z3" s="1"/>
      <c r="AA3" s="1">
        <f t="shared" ref="AA3:AA22" si="7">ROUND(CONVERT(AB3,"ft","m"),2)</f>
        <v>0</v>
      </c>
      <c r="AB3" s="1"/>
      <c r="AC3" s="1">
        <f t="shared" ref="AC3:AC22" si="8">ROUND(CONVERT(AD3,"ft","m"),2)</f>
        <v>0</v>
      </c>
      <c r="AD3" s="1"/>
      <c r="AE3" s="1">
        <f t="shared" ref="AE3:AE22" si="9">ROUND(CONVERT(AF3,"ft","m"),2)</f>
        <v>0</v>
      </c>
      <c r="AF3" s="1"/>
      <c r="AG3" s="1">
        <f t="shared" ref="AG3:AG22" si="10">ROUND(CONVERT(AH3,"ft","m"),2)</f>
        <v>0</v>
      </c>
      <c r="AH3" s="1"/>
      <c r="AI3" s="1">
        <f t="shared" ref="AI3:AI22" si="11">ROUND(CONVERT(AJ3,"ft","m"),2)</f>
        <v>0</v>
      </c>
      <c r="AJ3" s="1"/>
      <c r="AK3" s="11" t="str">
        <f t="shared" ref="AK3:AK22" si="12">TRIM(IFERROR(LEFT(L3,FIND("-",L3))&amp;SUBSTITUTE(REPLACE(L3,1,FIND("[",L3),""),"]",""),L3))</f>
        <v>P</v>
      </c>
      <c r="AL3" s="11" t="str">
        <f t="shared" ref="AL3:AL22" si="13">TRIM(IFERROR(LEFT(L3,FIND(" [",L3)),L3))</f>
        <v>P</v>
      </c>
    </row>
    <row r="4" spans="1:38" x14ac:dyDescent="0.2">
      <c r="C4" s="1" t="s">
        <v>19</v>
      </c>
      <c r="D4" t="s">
        <v>20</v>
      </c>
      <c r="I4" s="9">
        <v>6</v>
      </c>
      <c r="J4" s="10">
        <v>0.6</v>
      </c>
      <c r="L4" t="s">
        <v>43</v>
      </c>
      <c r="M4" s="1">
        <f t="shared" si="0"/>
        <v>2.44</v>
      </c>
      <c r="N4" s="1">
        <v>8</v>
      </c>
      <c r="O4" s="1">
        <f>ROUND(CONVERT(P4,"ft","m"),2)</f>
        <v>1.22</v>
      </c>
      <c r="P4" s="1">
        <v>4</v>
      </c>
      <c r="Q4" s="1">
        <f t="shared" si="1"/>
        <v>6.1</v>
      </c>
      <c r="R4" s="1">
        <v>20</v>
      </c>
      <c r="S4" s="1">
        <f t="shared" si="2"/>
        <v>37.209999999999994</v>
      </c>
      <c r="T4" s="1">
        <f t="shared" si="3"/>
        <v>400</v>
      </c>
      <c r="U4" s="1">
        <f t="shared" si="4"/>
        <v>0</v>
      </c>
      <c r="V4" s="1"/>
      <c r="W4" s="1">
        <f t="shared" si="5"/>
        <v>0</v>
      </c>
      <c r="X4" s="1"/>
      <c r="Y4" s="1">
        <f t="shared" si="6"/>
        <v>0</v>
      </c>
      <c r="Z4" s="1"/>
      <c r="AA4" s="1">
        <f t="shared" si="7"/>
        <v>0</v>
      </c>
      <c r="AB4" s="1"/>
      <c r="AC4" s="1">
        <f t="shared" si="8"/>
        <v>0</v>
      </c>
      <c r="AD4" s="1"/>
      <c r="AE4" s="1">
        <f t="shared" si="9"/>
        <v>0</v>
      </c>
      <c r="AF4" s="1"/>
      <c r="AG4" s="1">
        <f t="shared" si="10"/>
        <v>0</v>
      </c>
      <c r="AH4" s="1"/>
      <c r="AI4" s="1">
        <f t="shared" si="11"/>
        <v>0</v>
      </c>
      <c r="AJ4" s="1"/>
      <c r="AK4" s="11" t="str">
        <f t="shared" si="12"/>
        <v>SU-9</v>
      </c>
      <c r="AL4" s="11" t="str">
        <f t="shared" si="13"/>
        <v>SU-30</v>
      </c>
    </row>
    <row r="5" spans="1:38" x14ac:dyDescent="0.2">
      <c r="C5" s="1" t="s">
        <v>21</v>
      </c>
      <c r="D5" t="s">
        <v>22</v>
      </c>
      <c r="I5" s="9">
        <v>6.6</v>
      </c>
      <c r="J5" s="10">
        <v>0.75</v>
      </c>
      <c r="L5" t="s">
        <v>44</v>
      </c>
      <c r="M5" s="1">
        <f t="shared" si="0"/>
        <v>2.44</v>
      </c>
      <c r="N5" s="1">
        <v>8</v>
      </c>
      <c r="O5" s="1">
        <f>ROUND(CONVERT(P5,"ft","m"),2)</f>
        <v>1.22</v>
      </c>
      <c r="P5" s="1">
        <v>4</v>
      </c>
      <c r="Q5" s="1">
        <f t="shared" si="1"/>
        <v>7.62</v>
      </c>
      <c r="R5" s="1">
        <v>25</v>
      </c>
      <c r="S5" s="1">
        <f t="shared" si="2"/>
        <v>58.064399999999999</v>
      </c>
      <c r="T5" s="1">
        <f t="shared" si="3"/>
        <v>625</v>
      </c>
      <c r="U5" s="1">
        <f t="shared" si="4"/>
        <v>0</v>
      </c>
      <c r="V5" s="1"/>
      <c r="W5" s="1">
        <f t="shared" si="5"/>
        <v>0</v>
      </c>
      <c r="X5" s="1"/>
      <c r="Y5" s="1">
        <f t="shared" si="6"/>
        <v>0</v>
      </c>
      <c r="Z5" s="1"/>
      <c r="AA5" s="1">
        <f t="shared" si="7"/>
        <v>0</v>
      </c>
      <c r="AB5" s="1"/>
      <c r="AC5" s="1">
        <f t="shared" si="8"/>
        <v>0</v>
      </c>
      <c r="AD5" s="1"/>
      <c r="AE5" s="1">
        <f t="shared" si="9"/>
        <v>0</v>
      </c>
      <c r="AF5" s="1"/>
      <c r="AG5" s="1">
        <f t="shared" si="10"/>
        <v>0</v>
      </c>
      <c r="AH5" s="1"/>
      <c r="AI5" s="1">
        <f t="shared" si="11"/>
        <v>0</v>
      </c>
      <c r="AJ5" s="1"/>
      <c r="AK5" s="11" t="str">
        <f t="shared" si="12"/>
        <v>SU-12</v>
      </c>
      <c r="AL5" s="11" t="str">
        <f t="shared" si="13"/>
        <v>SU-40</v>
      </c>
    </row>
    <row r="6" spans="1:38" x14ac:dyDescent="0.2">
      <c r="I6" s="9">
        <v>7.2</v>
      </c>
      <c r="J6" s="10">
        <v>0.9</v>
      </c>
      <c r="L6" t="s">
        <v>45</v>
      </c>
      <c r="M6" s="1">
        <f t="shared" si="0"/>
        <v>2.59</v>
      </c>
      <c r="N6" s="1">
        <v>8.5</v>
      </c>
      <c r="O6" s="1">
        <v>1.93</v>
      </c>
      <c r="P6" s="1">
        <v>6.3</v>
      </c>
      <c r="Q6" s="1">
        <f t="shared" si="1"/>
        <v>7.71</v>
      </c>
      <c r="R6" s="1">
        <f>23.3+4/2</f>
        <v>25.3</v>
      </c>
      <c r="S6" s="1">
        <f t="shared" si="2"/>
        <v>59.444099999999999</v>
      </c>
      <c r="T6" s="1">
        <f t="shared" si="3"/>
        <v>640.09</v>
      </c>
      <c r="U6" s="1">
        <f t="shared" si="4"/>
        <v>0</v>
      </c>
      <c r="V6" s="1"/>
      <c r="W6" s="1">
        <f t="shared" si="5"/>
        <v>0</v>
      </c>
      <c r="X6" s="1"/>
      <c r="Y6" s="1">
        <f t="shared" si="6"/>
        <v>0</v>
      </c>
      <c r="Z6" s="1"/>
      <c r="AA6" s="1">
        <f t="shared" si="7"/>
        <v>0</v>
      </c>
      <c r="AB6" s="1"/>
      <c r="AC6" s="1">
        <f t="shared" si="8"/>
        <v>0</v>
      </c>
      <c r="AD6" s="1"/>
      <c r="AE6" s="1">
        <f t="shared" si="9"/>
        <v>0</v>
      </c>
      <c r="AF6" s="1"/>
      <c r="AG6" s="1">
        <f t="shared" si="10"/>
        <v>0</v>
      </c>
      <c r="AH6" s="1"/>
      <c r="AI6" s="1">
        <f t="shared" si="11"/>
        <v>0</v>
      </c>
      <c r="AJ6" s="1"/>
      <c r="AK6" s="11" t="str">
        <f t="shared" si="12"/>
        <v>BUS-12</v>
      </c>
      <c r="AL6" s="11" t="str">
        <f t="shared" si="13"/>
        <v>BUS-40</v>
      </c>
    </row>
    <row r="7" spans="1:38" x14ac:dyDescent="0.2">
      <c r="A7" s="28" t="s">
        <v>90</v>
      </c>
      <c r="B7" t="s">
        <v>89</v>
      </c>
      <c r="I7" s="9">
        <v>18</v>
      </c>
      <c r="J7" s="10">
        <v>1.5</v>
      </c>
      <c r="L7" t="s">
        <v>46</v>
      </c>
      <c r="M7" s="1">
        <f t="shared" si="0"/>
        <v>2.59</v>
      </c>
      <c r="N7" s="1">
        <v>8.5</v>
      </c>
      <c r="O7" s="1">
        <f>ROUND(CONVERT(P7,"ft","m"),2)</f>
        <v>1.89</v>
      </c>
      <c r="P7" s="1">
        <v>6.2</v>
      </c>
      <c r="Q7" s="1">
        <f t="shared" si="1"/>
        <v>8.69</v>
      </c>
      <c r="R7" s="1">
        <f>26.5+4/2</f>
        <v>28.5</v>
      </c>
      <c r="S7" s="1">
        <f t="shared" si="2"/>
        <v>75.516099999999994</v>
      </c>
      <c r="T7" s="1">
        <f t="shared" si="3"/>
        <v>812.25</v>
      </c>
      <c r="U7" s="1">
        <f t="shared" si="4"/>
        <v>0</v>
      </c>
      <c r="V7" s="1"/>
      <c r="W7" s="1">
        <f t="shared" si="5"/>
        <v>0</v>
      </c>
      <c r="X7" s="1"/>
      <c r="Y7" s="1">
        <f t="shared" si="6"/>
        <v>0</v>
      </c>
      <c r="Z7" s="1"/>
      <c r="AA7" s="1">
        <f t="shared" si="7"/>
        <v>0</v>
      </c>
      <c r="AB7" s="1"/>
      <c r="AC7" s="1">
        <f t="shared" si="8"/>
        <v>0</v>
      </c>
      <c r="AD7" s="1"/>
      <c r="AE7" s="1">
        <f t="shared" si="9"/>
        <v>0</v>
      </c>
      <c r="AF7" s="1"/>
      <c r="AG7" s="1">
        <f t="shared" si="10"/>
        <v>0</v>
      </c>
      <c r="AH7" s="1"/>
      <c r="AI7" s="1">
        <f t="shared" si="11"/>
        <v>0</v>
      </c>
      <c r="AJ7" s="1"/>
      <c r="AK7" s="11" t="str">
        <f t="shared" si="12"/>
        <v>BUS-14</v>
      </c>
      <c r="AL7" s="11" t="str">
        <f t="shared" si="13"/>
        <v>BUS-45</v>
      </c>
    </row>
    <row r="8" spans="1:38" x14ac:dyDescent="0.2">
      <c r="C8" s="1" t="s">
        <v>18</v>
      </c>
      <c r="D8" t="s">
        <v>11</v>
      </c>
      <c r="I8" s="9">
        <v>20</v>
      </c>
      <c r="J8" s="10">
        <v>2</v>
      </c>
      <c r="L8" t="s">
        <v>32</v>
      </c>
      <c r="M8" s="1">
        <f t="shared" si="0"/>
        <v>2.59</v>
      </c>
      <c r="N8" s="1">
        <v>8.5</v>
      </c>
      <c r="O8" s="1">
        <f>ROUND(CONVERT(P8,"ft","m"),2)</f>
        <v>2.13</v>
      </c>
      <c r="P8" s="1">
        <v>7</v>
      </c>
      <c r="Q8" s="1">
        <f t="shared" si="1"/>
        <v>7.62</v>
      </c>
      <c r="R8" s="1">
        <v>25</v>
      </c>
      <c r="S8" s="1">
        <f t="shared" si="2"/>
        <v>58.064399999999999</v>
      </c>
      <c r="T8" s="1">
        <f t="shared" si="3"/>
        <v>625</v>
      </c>
      <c r="U8" s="1">
        <f t="shared" si="4"/>
        <v>0</v>
      </c>
      <c r="V8" s="1"/>
      <c r="W8" s="1">
        <f t="shared" si="5"/>
        <v>0</v>
      </c>
      <c r="X8" s="1"/>
      <c r="Y8" s="1">
        <f t="shared" si="6"/>
        <v>0</v>
      </c>
      <c r="Z8" s="1"/>
      <c r="AA8" s="1">
        <f t="shared" si="7"/>
        <v>0</v>
      </c>
      <c r="AB8" s="1"/>
      <c r="AC8" s="1">
        <f t="shared" si="8"/>
        <v>0</v>
      </c>
      <c r="AD8" s="1"/>
      <c r="AE8" s="1">
        <f t="shared" si="9"/>
        <v>0</v>
      </c>
      <c r="AF8" s="1"/>
      <c r="AG8" s="1">
        <f t="shared" si="10"/>
        <v>0</v>
      </c>
      <c r="AH8" s="1"/>
      <c r="AI8" s="1">
        <f t="shared" si="11"/>
        <v>0</v>
      </c>
      <c r="AJ8" s="1"/>
      <c r="AK8" s="11" t="str">
        <f t="shared" si="12"/>
        <v>CITY-BUS</v>
      </c>
      <c r="AL8" s="11" t="str">
        <f t="shared" si="13"/>
        <v>CITY-BUS</v>
      </c>
    </row>
    <row r="9" spans="1:38" x14ac:dyDescent="0.2">
      <c r="C9" s="1" t="s">
        <v>12</v>
      </c>
      <c r="D9" t="s">
        <v>24</v>
      </c>
      <c r="I9" s="9">
        <v>22</v>
      </c>
      <c r="J9" s="10">
        <v>2.5</v>
      </c>
      <c r="L9" s="7" t="s">
        <v>56</v>
      </c>
      <c r="M9" s="1">
        <f t="shared" si="0"/>
        <v>2.44</v>
      </c>
      <c r="N9" s="1">
        <v>8</v>
      </c>
      <c r="O9" s="1">
        <v>0.79</v>
      </c>
      <c r="P9" s="1">
        <v>2.5</v>
      </c>
      <c r="Q9" s="1">
        <f t="shared" si="1"/>
        <v>6.49</v>
      </c>
      <c r="R9" s="1">
        <v>21.3</v>
      </c>
      <c r="S9" s="1">
        <f t="shared" si="2"/>
        <v>42.120100000000001</v>
      </c>
      <c r="T9" s="1">
        <f t="shared" si="3"/>
        <v>453.69000000000005</v>
      </c>
      <c r="U9" s="1">
        <f t="shared" si="4"/>
        <v>0</v>
      </c>
      <c r="V9" s="1"/>
      <c r="W9" s="1">
        <f t="shared" si="5"/>
        <v>0</v>
      </c>
      <c r="X9" s="1"/>
      <c r="Y9" s="1">
        <f t="shared" si="6"/>
        <v>0</v>
      </c>
      <c r="Z9" s="1"/>
      <c r="AA9" s="1">
        <f t="shared" si="7"/>
        <v>0</v>
      </c>
      <c r="AB9" s="1"/>
      <c r="AC9" s="1">
        <f t="shared" si="8"/>
        <v>0</v>
      </c>
      <c r="AD9" s="1"/>
      <c r="AE9" s="1">
        <f t="shared" si="9"/>
        <v>0</v>
      </c>
      <c r="AF9" s="1"/>
      <c r="AG9" s="1">
        <f t="shared" si="10"/>
        <v>0</v>
      </c>
      <c r="AH9" s="1"/>
      <c r="AI9" s="1">
        <f t="shared" si="11"/>
        <v>0</v>
      </c>
      <c r="AJ9" s="1"/>
      <c r="AK9" s="11" t="str">
        <f t="shared" si="12"/>
        <v>S–BUS-11</v>
      </c>
      <c r="AL9" s="11" t="str">
        <f t="shared" si="13"/>
        <v>S–BUS-36</v>
      </c>
    </row>
    <row r="10" spans="1:38" x14ac:dyDescent="0.2">
      <c r="D10" t="s">
        <v>30</v>
      </c>
      <c r="I10" s="9">
        <v>24</v>
      </c>
      <c r="J10" s="10">
        <v>3</v>
      </c>
      <c r="L10" s="7" t="s">
        <v>57</v>
      </c>
      <c r="M10" s="1">
        <f t="shared" si="0"/>
        <v>2.44</v>
      </c>
      <c r="N10" s="1">
        <v>8</v>
      </c>
      <c r="O10" s="1">
        <f t="shared" ref="O10:O22" si="14">ROUND(CONVERT(P10,"ft","m"),2)</f>
        <v>2.13</v>
      </c>
      <c r="P10" s="1">
        <v>7</v>
      </c>
      <c r="Q10" s="1">
        <f t="shared" si="1"/>
        <v>6.1</v>
      </c>
      <c r="R10" s="1">
        <v>20</v>
      </c>
      <c r="S10" s="1">
        <f t="shared" si="2"/>
        <v>37.209999999999994</v>
      </c>
      <c r="T10" s="1">
        <f t="shared" si="3"/>
        <v>400</v>
      </c>
      <c r="U10" s="1">
        <f t="shared" si="4"/>
        <v>0</v>
      </c>
      <c r="V10" s="1"/>
      <c r="W10" s="1">
        <f t="shared" si="5"/>
        <v>0</v>
      </c>
      <c r="X10" s="1"/>
      <c r="Y10" s="1">
        <f t="shared" si="6"/>
        <v>0</v>
      </c>
      <c r="Z10" s="1"/>
      <c r="AA10" s="1">
        <f t="shared" si="7"/>
        <v>0</v>
      </c>
      <c r="AB10" s="1"/>
      <c r="AC10" s="1">
        <f t="shared" si="8"/>
        <v>0</v>
      </c>
      <c r="AD10" s="1"/>
      <c r="AE10" s="1">
        <f t="shared" si="9"/>
        <v>0</v>
      </c>
      <c r="AF10" s="1"/>
      <c r="AG10" s="1">
        <f t="shared" si="10"/>
        <v>0</v>
      </c>
      <c r="AH10" s="1"/>
      <c r="AI10" s="1">
        <f t="shared" si="11"/>
        <v>0</v>
      </c>
      <c r="AJ10" s="1"/>
      <c r="AK10" s="11" t="str">
        <f t="shared" si="12"/>
        <v>S–BUS-12</v>
      </c>
      <c r="AL10" s="11" t="str">
        <f t="shared" si="13"/>
        <v>S–BUS-40</v>
      </c>
    </row>
    <row r="11" spans="1:38" x14ac:dyDescent="0.2">
      <c r="C11" s="1" t="s">
        <v>25</v>
      </c>
      <c r="D11" t="s">
        <v>26</v>
      </c>
      <c r="L11" t="s">
        <v>6</v>
      </c>
      <c r="M11" s="1">
        <f t="shared" si="0"/>
        <v>2.59</v>
      </c>
      <c r="N11" s="1">
        <v>8.5</v>
      </c>
      <c r="O11" s="1">
        <f t="shared" si="14"/>
        <v>2.62</v>
      </c>
      <c r="P11" s="1">
        <v>8.6</v>
      </c>
      <c r="Q11" s="1">
        <f t="shared" si="1"/>
        <v>6.71</v>
      </c>
      <c r="R11" s="1">
        <v>22</v>
      </c>
      <c r="S11" s="1">
        <f t="shared" si="2"/>
        <v>57.612399999999994</v>
      </c>
      <c r="T11" s="1">
        <f t="shared" si="3"/>
        <v>619.79999999999995</v>
      </c>
      <c r="U11" s="1">
        <f t="shared" si="4"/>
        <v>-1.89</v>
      </c>
      <c r="V11" s="1">
        <v>-6.2</v>
      </c>
      <c r="W11" s="1">
        <f t="shared" si="5"/>
        <v>4.0199999999999996</v>
      </c>
      <c r="X11" s="1">
        <v>13.2</v>
      </c>
      <c r="Y11" s="1">
        <f t="shared" si="6"/>
        <v>0</v>
      </c>
      <c r="Z11" s="1"/>
      <c r="AA11" s="1">
        <f t="shared" si="7"/>
        <v>0</v>
      </c>
      <c r="AB11" s="1"/>
      <c r="AC11" s="1">
        <f t="shared" si="8"/>
        <v>0</v>
      </c>
      <c r="AD11" s="1"/>
      <c r="AE11" s="1">
        <f t="shared" si="9"/>
        <v>0</v>
      </c>
      <c r="AF11" s="1"/>
      <c r="AG11" s="1">
        <f t="shared" si="10"/>
        <v>0</v>
      </c>
      <c r="AH11" s="1"/>
      <c r="AI11" s="1">
        <f t="shared" si="11"/>
        <v>0</v>
      </c>
      <c r="AJ11" s="1"/>
      <c r="AK11" s="11" t="str">
        <f t="shared" si="12"/>
        <v>A-BUS</v>
      </c>
      <c r="AL11" s="11" t="str">
        <f t="shared" si="13"/>
        <v>A-BUS</v>
      </c>
    </row>
    <row r="12" spans="1:38" x14ac:dyDescent="0.2">
      <c r="C12" s="1" t="s">
        <v>27</v>
      </c>
      <c r="D12" t="s">
        <v>28</v>
      </c>
      <c r="L12" t="s">
        <v>47</v>
      </c>
      <c r="M12" s="1">
        <f t="shared" si="0"/>
        <v>2.44</v>
      </c>
      <c r="N12" s="1">
        <v>8</v>
      </c>
      <c r="O12" s="1">
        <f t="shared" si="14"/>
        <v>0.91</v>
      </c>
      <c r="P12" s="1">
        <v>3</v>
      </c>
      <c r="Q12" s="1">
        <f t="shared" si="1"/>
        <v>3.81</v>
      </c>
      <c r="R12" s="1">
        <v>12.5</v>
      </c>
      <c r="S12" s="1">
        <f t="shared" si="2"/>
        <v>74.888999999999996</v>
      </c>
      <c r="T12" s="1">
        <f t="shared" si="3"/>
        <v>806.5</v>
      </c>
      <c r="U12" s="1">
        <f t="shared" si="4"/>
        <v>7.77</v>
      </c>
      <c r="V12" s="1">
        <v>25.5</v>
      </c>
      <c r="W12" s="1">
        <f t="shared" si="5"/>
        <v>0</v>
      </c>
      <c r="X12" s="1"/>
      <c r="Y12" s="1">
        <f t="shared" si="6"/>
        <v>0</v>
      </c>
      <c r="Z12" s="1"/>
      <c r="AA12" s="1">
        <f t="shared" si="7"/>
        <v>0</v>
      </c>
      <c r="AB12" s="1"/>
      <c r="AC12" s="1">
        <f t="shared" si="8"/>
        <v>0</v>
      </c>
      <c r="AD12" s="1"/>
      <c r="AE12" s="1">
        <f t="shared" si="9"/>
        <v>0</v>
      </c>
      <c r="AF12" s="1"/>
      <c r="AG12" s="1">
        <f t="shared" si="10"/>
        <v>0</v>
      </c>
      <c r="AH12" s="1"/>
      <c r="AI12" s="1">
        <f t="shared" si="11"/>
        <v>0</v>
      </c>
      <c r="AJ12" s="1"/>
      <c r="AK12" s="11" t="str">
        <f t="shared" si="12"/>
        <v>WB-12</v>
      </c>
      <c r="AL12" s="11" t="str">
        <f t="shared" si="13"/>
        <v>WB-40</v>
      </c>
    </row>
    <row r="13" spans="1:38" x14ac:dyDescent="0.2">
      <c r="D13" t="s">
        <v>31</v>
      </c>
      <c r="L13" t="s">
        <v>48</v>
      </c>
      <c r="M13" s="1">
        <f t="shared" si="0"/>
        <v>2.59</v>
      </c>
      <c r="N13" s="1">
        <v>8.5</v>
      </c>
      <c r="O13" s="1">
        <f t="shared" si="14"/>
        <v>1.22</v>
      </c>
      <c r="P13" s="1">
        <v>4</v>
      </c>
      <c r="Q13" s="1">
        <f t="shared" si="1"/>
        <v>5.94</v>
      </c>
      <c r="R13" s="1">
        <f>17.4+4.2/2</f>
        <v>19.5</v>
      </c>
      <c r="S13" s="1">
        <f t="shared" si="2"/>
        <v>191.53360000000001</v>
      </c>
      <c r="T13" s="1">
        <f t="shared" si="3"/>
        <v>2061.25</v>
      </c>
      <c r="U13" s="1">
        <f t="shared" si="4"/>
        <v>12.5</v>
      </c>
      <c r="V13" s="1">
        <v>41</v>
      </c>
      <c r="W13" s="1">
        <f t="shared" si="5"/>
        <v>0</v>
      </c>
      <c r="X13" s="1"/>
      <c r="Y13" s="1">
        <f t="shared" si="6"/>
        <v>0</v>
      </c>
      <c r="Z13" s="1"/>
      <c r="AA13" s="1">
        <f t="shared" si="7"/>
        <v>0</v>
      </c>
      <c r="AB13" s="1"/>
      <c r="AC13" s="1">
        <f t="shared" si="8"/>
        <v>0</v>
      </c>
      <c r="AD13" s="1"/>
      <c r="AE13" s="1">
        <f t="shared" si="9"/>
        <v>0</v>
      </c>
      <c r="AF13" s="1"/>
      <c r="AG13" s="1">
        <f t="shared" si="10"/>
        <v>0</v>
      </c>
      <c r="AH13" s="1"/>
      <c r="AI13" s="1">
        <f t="shared" si="11"/>
        <v>0</v>
      </c>
      <c r="AJ13" s="1"/>
      <c r="AK13" s="11" t="str">
        <f t="shared" si="12"/>
        <v>WB-19</v>
      </c>
      <c r="AL13" s="11" t="str">
        <f t="shared" si="13"/>
        <v>WB-62</v>
      </c>
    </row>
    <row r="14" spans="1:38" x14ac:dyDescent="0.2">
      <c r="C14" s="1" t="s">
        <v>13</v>
      </c>
      <c r="D14" t="s">
        <v>29</v>
      </c>
      <c r="I14" s="7" t="s">
        <v>58</v>
      </c>
      <c r="J14" s="7" t="s">
        <v>59</v>
      </c>
      <c r="L14" t="s">
        <v>49</v>
      </c>
      <c r="M14" s="1">
        <f t="shared" si="0"/>
        <v>2.59</v>
      </c>
      <c r="N14" s="1">
        <v>8.5</v>
      </c>
      <c r="O14" s="1">
        <f t="shared" si="14"/>
        <v>1.22</v>
      </c>
      <c r="P14" s="1">
        <v>4</v>
      </c>
      <c r="Q14" s="1">
        <f t="shared" si="1"/>
        <v>5.94</v>
      </c>
      <c r="R14" s="1">
        <f>17.4+4.2/2</f>
        <v>19.5</v>
      </c>
      <c r="S14" s="1">
        <f t="shared" si="2"/>
        <v>227.66049999999998</v>
      </c>
      <c r="T14" s="1">
        <f t="shared" si="3"/>
        <v>2450.5</v>
      </c>
      <c r="U14" s="1">
        <f t="shared" si="4"/>
        <v>13.87</v>
      </c>
      <c r="V14" s="1">
        <v>45.5</v>
      </c>
      <c r="W14" s="1">
        <f t="shared" si="5"/>
        <v>0</v>
      </c>
      <c r="X14" s="1"/>
      <c r="Y14" s="1">
        <f t="shared" si="6"/>
        <v>0</v>
      </c>
      <c r="Z14" s="1"/>
      <c r="AA14" s="1">
        <f t="shared" si="7"/>
        <v>0</v>
      </c>
      <c r="AB14" s="1"/>
      <c r="AC14" s="1">
        <f t="shared" si="8"/>
        <v>0</v>
      </c>
      <c r="AD14" s="1"/>
      <c r="AE14" s="1">
        <f t="shared" si="9"/>
        <v>0</v>
      </c>
      <c r="AF14" s="1"/>
      <c r="AG14" s="1">
        <f t="shared" si="10"/>
        <v>0</v>
      </c>
      <c r="AH14" s="1"/>
      <c r="AI14" s="1">
        <f t="shared" si="11"/>
        <v>0</v>
      </c>
      <c r="AJ14" s="1"/>
      <c r="AK14" s="11" t="str">
        <f t="shared" si="12"/>
        <v>WB-20</v>
      </c>
      <c r="AL14" s="11" t="str">
        <f t="shared" si="13"/>
        <v>WB-67</v>
      </c>
    </row>
    <row r="15" spans="1:38" x14ac:dyDescent="0.2">
      <c r="D15" t="s">
        <v>33</v>
      </c>
      <c r="I15" s="7">
        <v>25000</v>
      </c>
      <c r="J15" s="7">
        <f ca="1">MAX(ROUND(_N*(((VLOOKUP(Type,Vehicles[],2+USC?,0))+I15-SQRT(I15^2-VLOOKUP(Type,Vehicles[],8+USC?,0)))+_C)+(_N-1)*(SQRT(I15^2+VLOOKUP(Type,Vehicles[],4+USC?,0)*(2*VLOOKUP(Type,Vehicles[],6+USC?,0)+VLOOKUP(Type,Vehicles[],4+USC?,0)))-I15)+IF(USC?,1,0.1)*(MAX(Widening!$B$6:$P$6)/SQRT(I15))-_N/2*_Wn,1),0)</f>
        <v>0</v>
      </c>
      <c r="L15" s="7" t="s">
        <v>60</v>
      </c>
      <c r="M15" s="11">
        <f t="shared" si="0"/>
        <v>2.59</v>
      </c>
      <c r="N15" s="1">
        <v>8.5</v>
      </c>
      <c r="O15" s="11">
        <f t="shared" si="14"/>
        <v>0.7</v>
      </c>
      <c r="P15" s="1">
        <v>2.2999999999999998</v>
      </c>
      <c r="Q15" s="11">
        <f t="shared" si="1"/>
        <v>3.35</v>
      </c>
      <c r="R15" s="1">
        <v>11</v>
      </c>
      <c r="S15" s="11">
        <f t="shared" si="2"/>
        <v>113.2115</v>
      </c>
      <c r="T15" s="11">
        <f t="shared" si="3"/>
        <v>1219</v>
      </c>
      <c r="U15" s="11">
        <f t="shared" si="4"/>
        <v>7.01</v>
      </c>
      <c r="V15" s="1">
        <v>23</v>
      </c>
      <c r="W15" s="1">
        <f t="shared" si="5"/>
        <v>-0.91</v>
      </c>
      <c r="X15" s="1">
        <v>-3</v>
      </c>
      <c r="Y15" s="1">
        <f t="shared" si="6"/>
        <v>2.13</v>
      </c>
      <c r="Z15" s="1">
        <v>7</v>
      </c>
      <c r="AA15" s="1">
        <f t="shared" si="7"/>
        <v>7.01</v>
      </c>
      <c r="AB15" s="1">
        <v>23</v>
      </c>
      <c r="AC15" s="1">
        <f t="shared" si="8"/>
        <v>0</v>
      </c>
      <c r="AD15" s="1"/>
      <c r="AE15" s="1">
        <f t="shared" si="9"/>
        <v>0</v>
      </c>
      <c r="AF15" s="1"/>
      <c r="AG15" s="1">
        <f t="shared" si="10"/>
        <v>0</v>
      </c>
      <c r="AH15" s="1"/>
      <c r="AI15" s="1">
        <f t="shared" si="11"/>
        <v>0</v>
      </c>
      <c r="AJ15" s="1"/>
      <c r="AK15" s="11" t="str">
        <f t="shared" si="12"/>
        <v>WB-20D</v>
      </c>
      <c r="AL15" s="11" t="str">
        <f t="shared" si="13"/>
        <v>WB-67D</v>
      </c>
    </row>
    <row r="16" spans="1:38" x14ac:dyDescent="0.2">
      <c r="C16" s="1" t="s">
        <v>16</v>
      </c>
      <c r="D16" t="s">
        <v>34</v>
      </c>
      <c r="I16" s="7">
        <v>20000</v>
      </c>
      <c r="J16" s="7">
        <f ca="1">MAX(ROUND(_N*(((VLOOKUP(Type,Vehicles[],2+USC?,0))+I16-SQRT(I16^2-VLOOKUP(Type,Vehicles[],8+USC?,0)))+_C)+(_N-1)*(SQRT(I16^2+VLOOKUP(Type,Vehicles[],4+USC?,0)*(2*VLOOKUP(Type,Vehicles[],6+USC?,0)+VLOOKUP(Type,Vehicles[],4+USC?,0)))-I16)+IF(USC?,1,0.1)*(MAX(Widening!$B$6:$P$6)/SQRT(I16))-_N/2*_Wn,1),0)</f>
        <v>0</v>
      </c>
      <c r="L16" s="7" t="s">
        <v>76</v>
      </c>
      <c r="M16" s="11">
        <f t="shared" si="0"/>
        <v>2.59</v>
      </c>
      <c r="N16" s="1">
        <v>8.5</v>
      </c>
      <c r="O16" s="11">
        <f t="shared" si="14"/>
        <v>0.7</v>
      </c>
      <c r="P16" s="1">
        <v>2.2999999999999998</v>
      </c>
      <c r="Q16" s="11">
        <f t="shared" si="1"/>
        <v>5.33</v>
      </c>
      <c r="R16" s="1">
        <v>17.5</v>
      </c>
      <c r="S16" s="11">
        <f t="shared" si="2"/>
        <v>112.39419999999998</v>
      </c>
      <c r="T16" s="11">
        <f t="shared" si="3"/>
        <v>1211</v>
      </c>
      <c r="U16" s="11">
        <f t="shared" si="4"/>
        <v>0.15</v>
      </c>
      <c r="V16" s="1">
        <v>0.5</v>
      </c>
      <c r="W16" s="11">
        <f t="shared" si="5"/>
        <v>5.33</v>
      </c>
      <c r="X16" s="1">
        <v>17.5</v>
      </c>
      <c r="Y16" s="11">
        <f t="shared" si="6"/>
        <v>1.37</v>
      </c>
      <c r="Z16" s="1">
        <v>4.5</v>
      </c>
      <c r="AA16" s="11">
        <f t="shared" si="7"/>
        <v>2.13</v>
      </c>
      <c r="AB16" s="1">
        <v>7</v>
      </c>
      <c r="AC16" s="11">
        <f t="shared" si="8"/>
        <v>7.01</v>
      </c>
      <c r="AD16" s="1">
        <v>23</v>
      </c>
      <c r="AE16" s="11">
        <f t="shared" si="9"/>
        <v>0</v>
      </c>
      <c r="AF16" s="1"/>
      <c r="AG16" s="1">
        <f t="shared" si="10"/>
        <v>0</v>
      </c>
      <c r="AH16" s="1"/>
      <c r="AI16" s="1">
        <f t="shared" si="11"/>
        <v>0</v>
      </c>
      <c r="AJ16" s="1"/>
      <c r="AK16" s="11" t="str">
        <f t="shared" si="12"/>
        <v>WB-28D</v>
      </c>
      <c r="AL16" s="11" t="str">
        <f t="shared" si="13"/>
        <v>WB-92D</v>
      </c>
    </row>
    <row r="17" spans="2:38" x14ac:dyDescent="0.2">
      <c r="C17" s="1" t="s">
        <v>14</v>
      </c>
      <c r="D17" t="s">
        <v>35</v>
      </c>
      <c r="I17" s="7">
        <v>15000</v>
      </c>
      <c r="J17" s="7">
        <f ca="1">MAX(ROUND(_N*(((VLOOKUP(Type,Vehicles[],2+USC?,0))+I17-SQRT(I17^2-VLOOKUP(Type,Vehicles[],8+USC?,0)))+_C)+(_N-1)*(SQRT(I17^2+VLOOKUP(Type,Vehicles[],4+USC?,0)*(2*VLOOKUP(Type,Vehicles[],6+USC?,0)+VLOOKUP(Type,Vehicles[],4+USC?,0)))-I17)+IF(USC?,1,0.1)*(MAX(Widening!$B$6:$P$6)/SQRT(I17))-_N/2*_Wn,1),0)</f>
        <v>0</v>
      </c>
      <c r="L17" s="7" t="s">
        <v>77</v>
      </c>
      <c r="M17" s="11">
        <f t="shared" si="0"/>
        <v>2.59</v>
      </c>
      <c r="N17" s="1">
        <v>8.5</v>
      </c>
      <c r="O17" s="11">
        <f t="shared" si="14"/>
        <v>0.7</v>
      </c>
      <c r="P17" s="1">
        <v>2.2999999999999998</v>
      </c>
      <c r="Q17" s="11">
        <f t="shared" si="1"/>
        <v>3.35</v>
      </c>
      <c r="R17" s="1">
        <v>11</v>
      </c>
      <c r="S17" s="11">
        <f t="shared" si="2"/>
        <v>166.08289999999997</v>
      </c>
      <c r="T17" s="11">
        <f t="shared" si="3"/>
        <v>1788.25</v>
      </c>
      <c r="U17" s="11">
        <f t="shared" si="4"/>
        <v>0.15</v>
      </c>
      <c r="V17" s="1">
        <v>0.5</v>
      </c>
      <c r="W17" s="11">
        <f t="shared" si="5"/>
        <v>7.01</v>
      </c>
      <c r="X17" s="1">
        <v>23</v>
      </c>
      <c r="Y17" s="11">
        <f t="shared" si="6"/>
        <v>-0.91</v>
      </c>
      <c r="Z17" s="1">
        <v>-3</v>
      </c>
      <c r="AA17" s="11">
        <f t="shared" si="7"/>
        <v>2.13</v>
      </c>
      <c r="AB17" s="1">
        <v>7</v>
      </c>
      <c r="AC17" s="11">
        <f t="shared" si="8"/>
        <v>7.01</v>
      </c>
      <c r="AD17" s="1">
        <v>23</v>
      </c>
      <c r="AE17" s="11">
        <f t="shared" si="9"/>
        <v>-0.91</v>
      </c>
      <c r="AF17" s="1">
        <v>-3</v>
      </c>
      <c r="AG17" s="11">
        <f t="shared" si="10"/>
        <v>2.13</v>
      </c>
      <c r="AH17" s="1">
        <v>7</v>
      </c>
      <c r="AI17" s="11">
        <f t="shared" si="11"/>
        <v>7.01</v>
      </c>
      <c r="AJ17" s="1">
        <v>23</v>
      </c>
      <c r="AK17" s="11" t="str">
        <f t="shared" si="12"/>
        <v>WB-30T</v>
      </c>
      <c r="AL17" s="11" t="str">
        <f t="shared" si="13"/>
        <v>WB-100T</v>
      </c>
    </row>
    <row r="18" spans="2:38" x14ac:dyDescent="0.2">
      <c r="C18" s="1" t="s">
        <v>15</v>
      </c>
      <c r="D18" t="s">
        <v>36</v>
      </c>
      <c r="I18" s="7">
        <v>12500</v>
      </c>
      <c r="J18" s="7">
        <f ca="1">MAX(ROUND(_N*(((VLOOKUP(Type,Vehicles[],2+USC?,0))+I18-SQRT(I18^2-VLOOKUP(Type,Vehicles[],8+USC?,0)))+_C)+(_N-1)*(SQRT(I18^2+VLOOKUP(Type,Vehicles[],4+USC?,0)*(2*VLOOKUP(Type,Vehicles[],6+USC?,0)+VLOOKUP(Type,Vehicles[],4+USC?,0)))-I18)+IF(USC?,1,0.1)*(MAX(Widening!$B$6:$P$6)/SQRT(I18))-_N/2*_Wn,1),0)</f>
        <v>0</v>
      </c>
      <c r="L18" s="7" t="s">
        <v>78</v>
      </c>
      <c r="M18" s="11">
        <f t="shared" si="0"/>
        <v>2.59</v>
      </c>
      <c r="N18" s="1">
        <v>8.5</v>
      </c>
      <c r="O18" s="11">
        <f t="shared" si="14"/>
        <v>0.7</v>
      </c>
      <c r="P18" s="1">
        <v>2.2999999999999998</v>
      </c>
      <c r="Q18" s="11">
        <f t="shared" si="1"/>
        <v>3.72</v>
      </c>
      <c r="R18" s="1">
        <v>12.2</v>
      </c>
      <c r="S18" s="11">
        <f t="shared" si="2"/>
        <v>325.83770000000004</v>
      </c>
      <c r="T18" s="11">
        <f t="shared" si="3"/>
        <v>3509.34</v>
      </c>
      <c r="U18" s="11">
        <f t="shared" si="4"/>
        <v>0.15</v>
      </c>
      <c r="V18" s="1">
        <v>0.5</v>
      </c>
      <c r="W18" s="11">
        <f t="shared" si="5"/>
        <v>12.34</v>
      </c>
      <c r="X18" s="1">
        <v>40.5</v>
      </c>
      <c r="Y18" s="11">
        <f t="shared" si="6"/>
        <v>-1.37</v>
      </c>
      <c r="Z18" s="1">
        <v>-4.5</v>
      </c>
      <c r="AA18" s="11">
        <f t="shared" si="7"/>
        <v>3.05</v>
      </c>
      <c r="AB18" s="1">
        <v>10</v>
      </c>
      <c r="AC18" s="11">
        <f t="shared" si="8"/>
        <v>12.34</v>
      </c>
      <c r="AD18" s="1">
        <v>40.5</v>
      </c>
      <c r="AE18" s="11">
        <f t="shared" si="9"/>
        <v>0</v>
      </c>
      <c r="AF18" s="1"/>
      <c r="AG18" s="11">
        <f t="shared" si="10"/>
        <v>0</v>
      </c>
      <c r="AH18" s="1"/>
      <c r="AI18" s="11">
        <f t="shared" si="11"/>
        <v>0</v>
      </c>
      <c r="AJ18" s="1"/>
      <c r="AK18" s="11" t="str">
        <f t="shared" si="12"/>
        <v>WB-33D</v>
      </c>
      <c r="AL18" s="11" t="str">
        <f t="shared" si="13"/>
        <v>WB-109D</v>
      </c>
    </row>
    <row r="19" spans="2:38" x14ac:dyDescent="0.2">
      <c r="I19" s="7">
        <v>10000</v>
      </c>
      <c r="J19" s="7">
        <f ca="1">MAX(ROUND(_N*(((VLOOKUP(Type,Vehicles[],2+USC?,0))+I19-SQRT(I19^2-VLOOKUP(Type,Vehicles[],8+USC?,0)))+_C)+(_N-1)*(SQRT(I19^2+VLOOKUP(Type,Vehicles[],4+USC?,0)*(2*VLOOKUP(Type,Vehicles[],6+USC?,0)+VLOOKUP(Type,Vehicles[],4+USC?,0)))-I19)+IF(USC?,1,0.1)*(MAX(Widening!$B$6:$P$6)/SQRT(I19))-_N/2*_Wn,1),0)</f>
        <v>0</v>
      </c>
      <c r="L19" t="s">
        <v>7</v>
      </c>
      <c r="M19" s="11">
        <f t="shared" si="0"/>
        <v>2.44</v>
      </c>
      <c r="N19" s="1">
        <v>8</v>
      </c>
      <c r="O19" s="11">
        <f t="shared" si="14"/>
        <v>1.22</v>
      </c>
      <c r="P19" s="1">
        <v>4</v>
      </c>
      <c r="Q19" s="1">
        <f t="shared" si="1"/>
        <v>6.1</v>
      </c>
      <c r="R19" s="1">
        <v>20</v>
      </c>
      <c r="S19" s="1">
        <f t="shared" si="2"/>
        <v>37.209999999999994</v>
      </c>
      <c r="T19" s="1">
        <f t="shared" si="3"/>
        <v>400</v>
      </c>
      <c r="U19" s="1">
        <f t="shared" si="4"/>
        <v>0</v>
      </c>
      <c r="V19" s="1"/>
      <c r="W19" s="1">
        <f t="shared" si="5"/>
        <v>0</v>
      </c>
      <c r="X19" s="1"/>
      <c r="Y19" s="1">
        <f t="shared" si="6"/>
        <v>0</v>
      </c>
      <c r="Z19" s="1"/>
      <c r="AA19" s="1">
        <f t="shared" si="7"/>
        <v>0</v>
      </c>
      <c r="AB19" s="1"/>
      <c r="AC19" s="1">
        <f t="shared" si="8"/>
        <v>0</v>
      </c>
      <c r="AD19" s="1"/>
      <c r="AE19" s="1">
        <f t="shared" si="9"/>
        <v>0</v>
      </c>
      <c r="AF19" s="1"/>
      <c r="AG19" s="1">
        <f t="shared" si="10"/>
        <v>0</v>
      </c>
      <c r="AH19" s="1"/>
      <c r="AI19" s="1">
        <f t="shared" si="11"/>
        <v>0</v>
      </c>
      <c r="AJ19" s="1"/>
      <c r="AK19" s="11" t="str">
        <f t="shared" si="12"/>
        <v>MH</v>
      </c>
      <c r="AL19" s="11" t="str">
        <f t="shared" si="13"/>
        <v>MH</v>
      </c>
    </row>
    <row r="20" spans="2:38" x14ac:dyDescent="0.2">
      <c r="I20" s="7">
        <v>7500</v>
      </c>
      <c r="J20" s="7">
        <f ca="1">MAX(ROUND(_N*(((VLOOKUP(Type,Vehicles[],2+USC?,0))+I20-SQRT(I20^2-VLOOKUP(Type,Vehicles[],8+USC?,0)))+_C)+(_N-1)*(SQRT(I20^2+VLOOKUP(Type,Vehicles[],4+USC?,0)*(2*VLOOKUP(Type,Vehicles[],6+USC?,0)+VLOOKUP(Type,Vehicles[],4+USC?,0)))-I20)+IF(USC?,1,0.1)*(MAX(Widening!$B$6:$P$6)/SQRT(I20))-_N/2*_Wn,1),0)</f>
        <v>0</v>
      </c>
      <c r="L20" s="7" t="s">
        <v>8</v>
      </c>
      <c r="M20" s="11">
        <f t="shared" si="0"/>
        <v>2.44</v>
      </c>
      <c r="N20" s="1">
        <v>8</v>
      </c>
      <c r="O20" s="11">
        <f t="shared" si="14"/>
        <v>0.91</v>
      </c>
      <c r="P20" s="1">
        <v>3</v>
      </c>
      <c r="Q20" s="11">
        <f t="shared" si="1"/>
        <v>3.35</v>
      </c>
      <c r="R20" s="1">
        <v>11</v>
      </c>
      <c r="S20" s="11">
        <f t="shared" si="2"/>
        <v>37.964199999999998</v>
      </c>
      <c r="T20" s="11">
        <f t="shared" si="3"/>
        <v>409.28999999999996</v>
      </c>
      <c r="U20" s="11">
        <f t="shared" si="4"/>
        <v>-1.52</v>
      </c>
      <c r="V20" s="1">
        <v>-5</v>
      </c>
      <c r="W20" s="11">
        <f t="shared" si="5"/>
        <v>5.39</v>
      </c>
      <c r="X20" s="1">
        <v>17.7</v>
      </c>
      <c r="Y20" s="11">
        <f t="shared" si="6"/>
        <v>0</v>
      </c>
      <c r="Z20" s="1"/>
      <c r="AA20" s="11">
        <f t="shared" si="7"/>
        <v>0</v>
      </c>
      <c r="AB20" s="1"/>
      <c r="AC20" s="11">
        <f t="shared" si="8"/>
        <v>0</v>
      </c>
      <c r="AD20" s="1"/>
      <c r="AE20" s="11">
        <f t="shared" si="9"/>
        <v>0</v>
      </c>
      <c r="AF20" s="1"/>
      <c r="AG20" s="11">
        <f t="shared" si="10"/>
        <v>0</v>
      </c>
      <c r="AH20" s="1"/>
      <c r="AI20" s="11">
        <f t="shared" si="11"/>
        <v>0</v>
      </c>
      <c r="AJ20" s="1"/>
      <c r="AK20" s="11" t="str">
        <f t="shared" si="12"/>
        <v>P/T</v>
      </c>
      <c r="AL20" s="11" t="str">
        <f t="shared" si="13"/>
        <v>P/T</v>
      </c>
    </row>
    <row r="21" spans="2:38" x14ac:dyDescent="0.2">
      <c r="B21" s="7" t="s">
        <v>42</v>
      </c>
      <c r="C21" s="7" t="s">
        <v>37</v>
      </c>
      <c r="D21" s="7" t="s">
        <v>38</v>
      </c>
      <c r="E21" s="7" t="s">
        <v>39</v>
      </c>
      <c r="F21" s="7" t="s">
        <v>40</v>
      </c>
      <c r="G21" s="8" t="s">
        <v>41</v>
      </c>
      <c r="I21">
        <v>7000</v>
      </c>
      <c r="J21">
        <f ca="1">MAX(ROUND(_N*(((VLOOKUP(Type,Vehicles[],2+USC?,0))+I21-SQRT(I21^2-VLOOKUP(Type,Vehicles[],8+USC?,0)))+_C)+(_N-1)*(SQRT(I21^2+VLOOKUP(Type,Vehicles[],4+USC?,0)*(2*VLOOKUP(Type,Vehicles[],6+USC?,0)+VLOOKUP(Type,Vehicles[],4+USC?,0)))-I21)+IF(USC?,1,0.1)*(MAX(Widening!$B$6:$P$6)/SQRT(I21))-_N/2*_Wn,1),0)</f>
        <v>0.1</v>
      </c>
      <c r="L21" s="7" t="s">
        <v>9</v>
      </c>
      <c r="M21" s="11">
        <f t="shared" si="0"/>
        <v>2.44</v>
      </c>
      <c r="N21" s="1">
        <v>8</v>
      </c>
      <c r="O21" s="11">
        <f t="shared" si="14"/>
        <v>0.91</v>
      </c>
      <c r="P21" s="1">
        <v>3</v>
      </c>
      <c r="Q21" s="11">
        <f t="shared" si="1"/>
        <v>3.35</v>
      </c>
      <c r="R21" s="1">
        <v>11</v>
      </c>
      <c r="S21" s="11">
        <f t="shared" si="2"/>
        <v>29.797000000000004</v>
      </c>
      <c r="T21" s="11">
        <f t="shared" si="3"/>
        <v>321</v>
      </c>
      <c r="U21" s="11">
        <f t="shared" si="4"/>
        <v>-1.52</v>
      </c>
      <c r="V21" s="1">
        <v>-5</v>
      </c>
      <c r="W21" s="11">
        <f t="shared" si="5"/>
        <v>4.57</v>
      </c>
      <c r="X21" s="1">
        <v>15</v>
      </c>
      <c r="Y21" s="11">
        <f t="shared" si="6"/>
        <v>0</v>
      </c>
      <c r="Z21" s="1"/>
      <c r="AA21" s="11">
        <f t="shared" si="7"/>
        <v>0</v>
      </c>
      <c r="AB21" s="1"/>
      <c r="AC21" s="11">
        <f t="shared" si="8"/>
        <v>0</v>
      </c>
      <c r="AD21" s="1"/>
      <c r="AE21" s="11">
        <f t="shared" si="9"/>
        <v>0</v>
      </c>
      <c r="AF21" s="1"/>
      <c r="AG21" s="11">
        <f t="shared" si="10"/>
        <v>0</v>
      </c>
      <c r="AH21" s="1"/>
      <c r="AI21" s="11">
        <f t="shared" si="11"/>
        <v>0</v>
      </c>
      <c r="AJ21" s="1"/>
      <c r="AK21" s="11" t="str">
        <f t="shared" si="12"/>
        <v>P/B</v>
      </c>
      <c r="AL21" s="11" t="str">
        <f t="shared" si="13"/>
        <v>P/B</v>
      </c>
    </row>
    <row r="22" spans="2:38" x14ac:dyDescent="0.2">
      <c r="B22">
        <f t="shared" ref="B22:B41" ca="1" si="15">IFERROR(OFFSET(B22,-1,0)+0,0)+IF(USC?,IF(ISNUMBER(G22),1,0),IF(ISNUMBER(F22),1,0))</f>
        <v>1</v>
      </c>
      <c r="C22">
        <v>10</v>
      </c>
      <c r="E22">
        <v>0.38</v>
      </c>
      <c r="F22" t="str">
        <f t="shared" ref="F22:F41" si="16">IF(D22&gt;0,ROUND($C22^2/(127*(D22+_e)),-MAX(0,INT(LOG($C22^2/(127*(D22+_e))))-2)),"")</f>
        <v/>
      </c>
      <c r="G22">
        <f t="shared" ref="G22:G41" si="17">IF(E22&gt;0,ROUND($C22^2/(15*(E22+_e)),-MAX(0,INT(LOG($C22^2/(15*(E22+_e))))-2)),"")</f>
        <v>13</v>
      </c>
      <c r="I22">
        <v>6500</v>
      </c>
      <c r="J22">
        <f ca="1">MAX(ROUND(_N*(((VLOOKUP(Type,Vehicles[],2+USC?,0))+I22-SQRT(I22^2-VLOOKUP(Type,Vehicles[],8+USC?,0)))+_C)+(_N-1)*(SQRT(I22^2+VLOOKUP(Type,Vehicles[],4+USC?,0)*(2*VLOOKUP(Type,Vehicles[],6+USC?,0)+VLOOKUP(Type,Vehicles[],4+USC?,0)))-I22)+IF(USC?,1,0.1)*(MAX(Widening!$B$6:$P$6)/SQRT(I22))-_N/2*_Wn,1),0)</f>
        <v>0.1</v>
      </c>
      <c r="L22" s="7" t="s">
        <v>10</v>
      </c>
      <c r="M22" s="11">
        <f t="shared" si="0"/>
        <v>2.44</v>
      </c>
      <c r="N22" s="1">
        <v>8</v>
      </c>
      <c r="O22" s="11">
        <f t="shared" si="14"/>
        <v>1.22</v>
      </c>
      <c r="P22" s="1">
        <v>4</v>
      </c>
      <c r="Q22" s="11">
        <f t="shared" si="1"/>
        <v>6.1</v>
      </c>
      <c r="R22" s="1">
        <v>20</v>
      </c>
      <c r="S22" s="11">
        <f t="shared" si="2"/>
        <v>54.745999999999995</v>
      </c>
      <c r="T22" s="11">
        <f t="shared" si="3"/>
        <v>589</v>
      </c>
      <c r="U22" s="11">
        <f t="shared" si="4"/>
        <v>-1.83</v>
      </c>
      <c r="V22" s="1">
        <v>-6</v>
      </c>
      <c r="W22" s="11">
        <f t="shared" si="5"/>
        <v>4.57</v>
      </c>
      <c r="X22" s="1">
        <v>15</v>
      </c>
      <c r="Y22" s="11">
        <f t="shared" si="6"/>
        <v>0</v>
      </c>
      <c r="Z22" s="1"/>
      <c r="AA22" s="11">
        <f t="shared" si="7"/>
        <v>0</v>
      </c>
      <c r="AB22" s="1"/>
      <c r="AC22" s="11">
        <f t="shared" si="8"/>
        <v>0</v>
      </c>
      <c r="AD22" s="1"/>
      <c r="AE22" s="11">
        <f t="shared" si="9"/>
        <v>0</v>
      </c>
      <c r="AF22" s="1"/>
      <c r="AG22" s="11">
        <f t="shared" si="10"/>
        <v>0</v>
      </c>
      <c r="AH22" s="1"/>
      <c r="AI22" s="11">
        <f t="shared" si="11"/>
        <v>0</v>
      </c>
      <c r="AJ22" s="1"/>
      <c r="AK22" s="11" t="str">
        <f t="shared" si="12"/>
        <v>MH/B</v>
      </c>
      <c r="AL22" s="11" t="str">
        <f t="shared" si="13"/>
        <v>MH/B</v>
      </c>
    </row>
    <row r="23" spans="2:38" x14ac:dyDescent="0.2">
      <c r="B23">
        <f t="shared" ca="1" si="15"/>
        <v>2</v>
      </c>
      <c r="C23">
        <v>15</v>
      </c>
      <c r="D23">
        <v>0.4</v>
      </c>
      <c r="E23">
        <v>0.32</v>
      </c>
      <c r="F23">
        <f t="shared" si="16"/>
        <v>3</v>
      </c>
      <c r="G23">
        <f t="shared" si="17"/>
        <v>34</v>
      </c>
      <c r="I23">
        <v>6000</v>
      </c>
      <c r="J23">
        <f ca="1">MAX(ROUND(_N*(((VLOOKUP(Type,Vehicles[],2+USC?,0))+I23-SQRT(I23^2-VLOOKUP(Type,Vehicles[],8+USC?,0)))+_C)+(_N-1)*(SQRT(I23^2+VLOOKUP(Type,Vehicles[],4+USC?,0)*(2*VLOOKUP(Type,Vehicles[],6+USC?,0)+VLOOKUP(Type,Vehicles[],4+USC?,0)))-I23)+IF(USC?,1,0.1)*(MAX(Widening!$B$6:$P$6)/SQRT(I23))-_N/2*_Wn,1),0)</f>
        <v>0.2</v>
      </c>
    </row>
    <row r="24" spans="2:38" x14ac:dyDescent="0.2">
      <c r="B24">
        <f t="shared" ca="1" si="15"/>
        <v>3</v>
      </c>
      <c r="C24">
        <v>20</v>
      </c>
      <c r="D24">
        <v>0.35</v>
      </c>
      <c r="E24">
        <v>0.27</v>
      </c>
      <c r="F24">
        <f t="shared" si="16"/>
        <v>7</v>
      </c>
      <c r="G24">
        <f t="shared" si="17"/>
        <v>68</v>
      </c>
      <c r="I24">
        <v>5500</v>
      </c>
      <c r="J24">
        <f ca="1">MAX(ROUND(_N*(((VLOOKUP(Type,Vehicles[],2+USC?,0))+I24-SQRT(I24^2-VLOOKUP(Type,Vehicles[],8+USC?,0)))+_C)+(_N-1)*(SQRT(I24^2+VLOOKUP(Type,Vehicles[],4+USC?,0)*(2*VLOOKUP(Type,Vehicles[],6+USC?,0)+VLOOKUP(Type,Vehicles[],4+USC?,0)))-I24)+IF(USC?,1,0.1)*(MAX(Widening!$B$6:$P$6)/SQRT(I24))-_N/2*_Wn,1),0)</f>
        <v>0.2</v>
      </c>
    </row>
    <row r="25" spans="2:38" x14ac:dyDescent="0.2">
      <c r="B25">
        <f t="shared" ca="1" si="15"/>
        <v>4</v>
      </c>
      <c r="C25">
        <v>25</v>
      </c>
      <c r="E25">
        <v>0.23</v>
      </c>
      <c r="F25" t="str">
        <f t="shared" si="16"/>
        <v/>
      </c>
      <c r="G25">
        <f t="shared" si="17"/>
        <v>119</v>
      </c>
      <c r="I25">
        <v>5000</v>
      </c>
      <c r="J25">
        <f ca="1">MAX(ROUND(_N*(((VLOOKUP(Type,Vehicles[],2+USC?,0))+I25-SQRT(I25^2-VLOOKUP(Type,Vehicles[],8+USC?,0)))+_C)+(_N-1)*(SQRT(I25^2+VLOOKUP(Type,Vehicles[],4+USC?,0)*(2*VLOOKUP(Type,Vehicles[],6+USC?,0)+VLOOKUP(Type,Vehicles[],4+USC?,0)))-I25)+IF(USC?,1,0.1)*(MAX(Widening!$B$6:$P$6)/SQRT(I25))-_N/2*_Wn,1),0)</f>
        <v>0.3</v>
      </c>
    </row>
    <row r="26" spans="2:38" x14ac:dyDescent="0.2">
      <c r="B26">
        <f t="shared" ca="1" si="15"/>
        <v>5</v>
      </c>
      <c r="C26">
        <v>30</v>
      </c>
      <c r="D26">
        <v>0.28000000000000003</v>
      </c>
      <c r="E26">
        <v>0.2</v>
      </c>
      <c r="F26">
        <f t="shared" si="16"/>
        <v>18</v>
      </c>
      <c r="G26">
        <f t="shared" si="17"/>
        <v>188</v>
      </c>
      <c r="I26">
        <v>4500</v>
      </c>
      <c r="J26">
        <f ca="1">MAX(ROUND(_N*(((VLOOKUP(Type,Vehicles[],2+USC?,0))+I26-SQRT(I26^2-VLOOKUP(Type,Vehicles[],8+USC?,0)))+_C)+(_N-1)*(SQRT(I26^2+VLOOKUP(Type,Vehicles[],4+USC?,0)*(2*VLOOKUP(Type,Vehicles[],6+USC?,0)+VLOOKUP(Type,Vehicles[],4+USC?,0)))-I26)+IF(USC?,1,0.1)*(MAX(Widening!$B$6:$P$6)/SQRT(I26))-_N/2*_Wn,1),0)</f>
        <v>0.4</v>
      </c>
    </row>
    <row r="27" spans="2:38" x14ac:dyDescent="0.2">
      <c r="B27">
        <f t="shared" ca="1" si="15"/>
        <v>6</v>
      </c>
      <c r="C27">
        <v>35</v>
      </c>
      <c r="E27">
        <v>0.18</v>
      </c>
      <c r="F27" t="str">
        <f t="shared" si="16"/>
        <v/>
      </c>
      <c r="G27">
        <f t="shared" si="17"/>
        <v>272</v>
      </c>
      <c r="I27">
        <v>4000</v>
      </c>
      <c r="J27">
        <f ca="1">MAX(ROUND(_N*(((VLOOKUP(Type,Vehicles[],2+USC?,0))+I27-SQRT(I27^2-VLOOKUP(Type,Vehicles[],8+USC?,0)))+_C)+(_N-1)*(SQRT(I27^2+VLOOKUP(Type,Vehicles[],4+USC?,0)*(2*VLOOKUP(Type,Vehicles[],6+USC?,0)+VLOOKUP(Type,Vehicles[],4+USC?,0)))-I27)+IF(USC?,1,0.1)*(MAX(Widening!$B$6:$P$6)/SQRT(I27))-_N/2*_Wn,1),0)</f>
        <v>0.5</v>
      </c>
    </row>
    <row r="28" spans="2:38" x14ac:dyDescent="0.2">
      <c r="B28">
        <f t="shared" ca="1" si="15"/>
        <v>7</v>
      </c>
      <c r="C28">
        <v>40</v>
      </c>
      <c r="D28">
        <v>0.23</v>
      </c>
      <c r="E28">
        <v>0.16</v>
      </c>
      <c r="F28">
        <f t="shared" si="16"/>
        <v>36</v>
      </c>
      <c r="G28">
        <f t="shared" si="17"/>
        <v>381</v>
      </c>
      <c r="I28">
        <v>3500</v>
      </c>
      <c r="J28">
        <f ca="1">MAX(ROUND(_N*(((VLOOKUP(Type,Vehicles[],2+USC?,0))+I28-SQRT(I28^2-VLOOKUP(Type,Vehicles[],8+USC?,0)))+_C)+(_N-1)*(SQRT(I28^2+VLOOKUP(Type,Vehicles[],4+USC?,0)*(2*VLOOKUP(Type,Vehicles[],6+USC?,0)+VLOOKUP(Type,Vehicles[],4+USC?,0)))-I28)+IF(USC?,1,0.1)*(MAX(Widening!$B$6:$P$6)/SQRT(I28))-_N/2*_Wn,1),0)</f>
        <v>0.6</v>
      </c>
    </row>
    <row r="29" spans="2:38" x14ac:dyDescent="0.2">
      <c r="B29">
        <f t="shared" ca="1" si="15"/>
        <v>8</v>
      </c>
      <c r="C29">
        <v>45</v>
      </c>
      <c r="E29">
        <v>0.15</v>
      </c>
      <c r="F29" t="str">
        <f t="shared" si="16"/>
        <v/>
      </c>
      <c r="G29">
        <f t="shared" si="17"/>
        <v>500</v>
      </c>
      <c r="I29">
        <v>3000</v>
      </c>
      <c r="J29">
        <f ca="1">MAX(ROUND(_N*(((VLOOKUP(Type,Vehicles[],2+USC?,0))+I29-SQRT(I29^2-VLOOKUP(Type,Vehicles[],8+USC?,0)))+_C)+(_N-1)*(SQRT(I29^2+VLOOKUP(Type,Vehicles[],4+USC?,0)*(2*VLOOKUP(Type,Vehicles[],6+USC?,0)+VLOOKUP(Type,Vehicles[],4+USC?,0)))-I29)+IF(USC?,1,0.1)*(MAX(Widening!$B$6:$P$6)/SQRT(I29))-_N/2*_Wn,1),0)</f>
        <v>0.7</v>
      </c>
    </row>
    <row r="30" spans="2:38" x14ac:dyDescent="0.2">
      <c r="B30">
        <f t="shared" ca="1" si="15"/>
        <v>9</v>
      </c>
      <c r="C30">
        <v>50</v>
      </c>
      <c r="D30">
        <v>0.19</v>
      </c>
      <c r="E30">
        <v>0.14000000000000001</v>
      </c>
      <c r="F30">
        <f t="shared" si="16"/>
        <v>64</v>
      </c>
      <c r="G30">
        <f t="shared" si="17"/>
        <v>641</v>
      </c>
      <c r="I30">
        <v>2500</v>
      </c>
      <c r="J30">
        <f ca="1">MAX(ROUND(_N*(((VLOOKUP(Type,Vehicles[],2+USC?,0))+I30-SQRT(I30^2-VLOOKUP(Type,Vehicles[],8+USC?,0)))+_C)+(_N-1)*(SQRT(I30^2+VLOOKUP(Type,Vehicles[],4+USC?,0)*(2*VLOOKUP(Type,Vehicles[],6+USC?,0)+VLOOKUP(Type,Vehicles[],4+USC?,0)))-I30)+IF(USC?,1,0.1)*(MAX(Widening!$B$6:$P$6)/SQRT(I30))-_N/2*_Wn,1),0)</f>
        <v>0.9</v>
      </c>
    </row>
    <row r="31" spans="2:38" x14ac:dyDescent="0.2">
      <c r="B31">
        <f t="shared" ca="1" si="15"/>
        <v>10</v>
      </c>
      <c r="C31">
        <v>55</v>
      </c>
      <c r="E31">
        <v>0.13</v>
      </c>
      <c r="F31" t="str">
        <f t="shared" si="16"/>
        <v/>
      </c>
      <c r="G31">
        <f t="shared" si="17"/>
        <v>807</v>
      </c>
      <c r="I31">
        <v>2000</v>
      </c>
      <c r="J31">
        <f ca="1">MAX(ROUND(_N*(((VLOOKUP(Type,Vehicles[],2+USC?,0))+I31-SQRT(I31^2-VLOOKUP(Type,Vehicles[],8+USC?,0)))+_C)+(_N-1)*(SQRT(I31^2+VLOOKUP(Type,Vehicles[],4+USC?,0)*(2*VLOOKUP(Type,Vehicles[],6+USC?,0)+VLOOKUP(Type,Vehicles[],4+USC?,0)))-I31)+IF(USC?,1,0.1)*(MAX(Widening!$B$6:$P$6)/SQRT(I31))-_N/2*_Wn,1),0)</f>
        <v>1.2</v>
      </c>
    </row>
    <row r="32" spans="2:38" x14ac:dyDescent="0.2">
      <c r="B32">
        <f t="shared" ca="1" si="15"/>
        <v>11</v>
      </c>
      <c r="C32">
        <v>60</v>
      </c>
      <c r="D32">
        <v>0.17</v>
      </c>
      <c r="E32">
        <v>0.12</v>
      </c>
      <c r="F32">
        <f t="shared" si="16"/>
        <v>98</v>
      </c>
      <c r="G32">
        <f t="shared" si="17"/>
        <v>1000</v>
      </c>
      <c r="I32">
        <v>1750</v>
      </c>
      <c r="J32">
        <f ca="1">MAX(ROUND(_N*(((VLOOKUP(Type,Vehicles[],2+USC?,0))+I32-SQRT(I32^2-VLOOKUP(Type,Vehicles[],8+USC?,0)))+_C)+(_N-1)*(SQRT(I32^2+VLOOKUP(Type,Vehicles[],4+USC?,0)*(2*VLOOKUP(Type,Vehicles[],6+USC?,0)+VLOOKUP(Type,Vehicles[],4+USC?,0)))-I32)+IF(USC?,1,0.1)*(MAX(Widening!$B$6:$P$6)/SQRT(I32))-_N/2*_Wn,1),0)</f>
        <v>1.4</v>
      </c>
    </row>
    <row r="33" spans="2:10" x14ac:dyDescent="0.2">
      <c r="B33">
        <f t="shared" ca="1" si="15"/>
        <v>12</v>
      </c>
      <c r="C33">
        <v>65</v>
      </c>
      <c r="E33">
        <v>0.11</v>
      </c>
      <c r="F33" t="str">
        <f t="shared" si="16"/>
        <v/>
      </c>
      <c r="G33">
        <f t="shared" si="17"/>
        <v>1220</v>
      </c>
      <c r="I33">
        <v>1500</v>
      </c>
      <c r="J33">
        <f ca="1">MAX(ROUND(_N*(((VLOOKUP(Type,Vehicles[],2+USC?,0))+I33-SQRT(I33^2-VLOOKUP(Type,Vehicles[],8+USC?,0)))+_C)+(_N-1)*(SQRT(I33^2+VLOOKUP(Type,Vehicles[],4+USC?,0)*(2*VLOOKUP(Type,Vehicles[],6+USC?,0)+VLOOKUP(Type,Vehicles[],4+USC?,0)))-I33)+IF(USC?,1,0.1)*(MAX(Widening!$B$6:$P$6)/SQRT(I33))-_N/2*_Wn,1),0)</f>
        <v>1.6</v>
      </c>
    </row>
    <row r="34" spans="2:10" x14ac:dyDescent="0.2">
      <c r="B34">
        <f t="shared" ca="1" si="15"/>
        <v>13</v>
      </c>
      <c r="C34">
        <v>70</v>
      </c>
      <c r="D34">
        <v>0.15</v>
      </c>
      <c r="E34">
        <v>0.1</v>
      </c>
      <c r="F34">
        <f t="shared" si="16"/>
        <v>143</v>
      </c>
      <c r="G34">
        <f t="shared" si="17"/>
        <v>1480</v>
      </c>
      <c r="I34">
        <v>1250</v>
      </c>
      <c r="J34">
        <f ca="1">MAX(ROUND(_N*(((VLOOKUP(Type,Vehicles[],2+USC?,0))+I34-SQRT(I34^2-VLOOKUP(Type,Vehicles[],8+USC?,0)))+_C)+(_N-1)*(SQRT(I34^2+VLOOKUP(Type,Vehicles[],4+USC?,0)*(2*VLOOKUP(Type,Vehicles[],6+USC?,0)+VLOOKUP(Type,Vehicles[],4+USC?,0)))-I34)+IF(USC?,1,0.1)*(MAX(Widening!$B$6:$P$6)/SQRT(I34))-_N/2*_Wn,1),0)</f>
        <v>1.9</v>
      </c>
    </row>
    <row r="35" spans="2:10" x14ac:dyDescent="0.2">
      <c r="B35">
        <f t="shared" ca="1" si="15"/>
        <v>14</v>
      </c>
      <c r="C35">
        <v>75</v>
      </c>
      <c r="E35">
        <v>0.09</v>
      </c>
      <c r="F35" t="str">
        <f t="shared" si="16"/>
        <v/>
      </c>
      <c r="G35">
        <f t="shared" si="17"/>
        <v>1790</v>
      </c>
      <c r="I35">
        <v>1000</v>
      </c>
      <c r="J35">
        <f ca="1">MAX(ROUND(_N*(((VLOOKUP(Type,Vehicles[],2+USC?,0))+I35-SQRT(I35^2-VLOOKUP(Type,Vehicles[],8+USC?,0)))+_C)+(_N-1)*(SQRT(I35^2+VLOOKUP(Type,Vehicles[],4+USC?,0)*(2*VLOOKUP(Type,Vehicles[],6+USC?,0)+VLOOKUP(Type,Vehicles[],4+USC?,0)))-I35)+IF(USC?,1,0.1)*(MAX(Widening!$B$6:$P$6)/SQRT(I35))-_N/2*_Wn,1),0)</f>
        <v>2.4</v>
      </c>
    </row>
    <row r="36" spans="2:10" x14ac:dyDescent="0.2">
      <c r="B36">
        <f t="shared" ca="1" si="15"/>
        <v>15</v>
      </c>
      <c r="C36">
        <v>80</v>
      </c>
      <c r="D36">
        <v>0.14000000000000001</v>
      </c>
      <c r="E36">
        <v>0.08</v>
      </c>
      <c r="F36">
        <f t="shared" si="16"/>
        <v>194</v>
      </c>
      <c r="G36">
        <f t="shared" si="17"/>
        <v>2130</v>
      </c>
      <c r="I36">
        <v>900</v>
      </c>
      <c r="J36">
        <f ca="1">MAX(ROUND(_N*(((VLOOKUP(Type,Vehicles[],2+USC?,0))+I36-SQRT(I36^2-VLOOKUP(Type,Vehicles[],8+USC?,0)))+_C)+(_N-1)*(SQRT(I36^2+VLOOKUP(Type,Vehicles[],4+USC?,0)*(2*VLOOKUP(Type,Vehicles[],6+USC?,0)+VLOOKUP(Type,Vehicles[],4+USC?,0)))-I36)+IF(USC?,1,0.1)*(MAX(Widening!$B$6:$P$6)/SQRT(I36))-_N/2*_Wn,1),0)</f>
        <v>2.6</v>
      </c>
    </row>
    <row r="37" spans="2:10" x14ac:dyDescent="0.2">
      <c r="B37">
        <f t="shared" ca="1" si="15"/>
        <v>15</v>
      </c>
      <c r="C37">
        <v>90</v>
      </c>
      <c r="D37">
        <v>0.13</v>
      </c>
      <c r="F37">
        <f t="shared" si="16"/>
        <v>255</v>
      </c>
      <c r="G37" t="str">
        <f t="shared" si="17"/>
        <v/>
      </c>
      <c r="I37">
        <v>800</v>
      </c>
      <c r="J37">
        <f ca="1">MAX(ROUND(_N*(((VLOOKUP(Type,Vehicles[],2+USC?,0))+I37-SQRT(I37^2-VLOOKUP(Type,Vehicles[],8+USC?,0)))+_C)+(_N-1)*(SQRT(I37^2+VLOOKUP(Type,Vehicles[],4+USC?,0)*(2*VLOOKUP(Type,Vehicles[],6+USC?,0)+VLOOKUP(Type,Vehicles[],4+USC?,0)))-I37)+IF(USC?,1,0.1)*(MAX(Widening!$B$6:$P$6)/SQRT(I37))-_N/2*_Wn,1),0)</f>
        <v>2.9</v>
      </c>
    </row>
    <row r="38" spans="2:10" x14ac:dyDescent="0.2">
      <c r="B38">
        <f t="shared" ca="1" si="15"/>
        <v>15</v>
      </c>
      <c r="C38">
        <v>100</v>
      </c>
      <c r="D38">
        <v>0.12</v>
      </c>
      <c r="F38">
        <f t="shared" si="16"/>
        <v>328</v>
      </c>
      <c r="G38" t="str">
        <f t="shared" si="17"/>
        <v/>
      </c>
      <c r="I38">
        <v>700</v>
      </c>
      <c r="J38">
        <f ca="1">MAX(ROUND(_N*(((VLOOKUP(Type,Vehicles[],2+USC?,0))+I38-SQRT(I38^2-VLOOKUP(Type,Vehicles[],8+USC?,0)))+_C)+(_N-1)*(SQRT(I38^2+VLOOKUP(Type,Vehicles[],4+USC?,0)*(2*VLOOKUP(Type,Vehicles[],6+USC?,0)+VLOOKUP(Type,Vehicles[],4+USC?,0)))-I38)+IF(USC?,1,0.1)*(MAX(Widening!$B$6:$P$6)/SQRT(I38))-_N/2*_Wn,1),0)</f>
        <v>3.2</v>
      </c>
    </row>
    <row r="39" spans="2:10" x14ac:dyDescent="0.2">
      <c r="B39">
        <f t="shared" ca="1" si="15"/>
        <v>15</v>
      </c>
      <c r="C39">
        <v>110</v>
      </c>
      <c r="D39">
        <v>0.11</v>
      </c>
      <c r="F39">
        <f t="shared" si="16"/>
        <v>414</v>
      </c>
      <c r="G39" t="str">
        <f t="shared" si="17"/>
        <v/>
      </c>
      <c r="I39">
        <v>600</v>
      </c>
      <c r="J39">
        <f ca="1">MAX(ROUND(_N*(((VLOOKUP(Type,Vehicles[],2+USC?,0))+I39-SQRT(I39^2-VLOOKUP(Type,Vehicles[],8+USC?,0)))+_C)+(_N-1)*(SQRT(I39^2+VLOOKUP(Type,Vehicles[],4+USC?,0)*(2*VLOOKUP(Type,Vehicles[],6+USC?,0)+VLOOKUP(Type,Vehicles[],4+USC?,0)))-I39)+IF(USC?,1,0.1)*(MAX(Widening!$B$6:$P$6)/SQRT(I39))-_N/2*_Wn,1),0)</f>
        <v>3.7</v>
      </c>
    </row>
    <row r="40" spans="2:10" x14ac:dyDescent="0.2">
      <c r="B40">
        <f t="shared" ca="1" si="15"/>
        <v>15</v>
      </c>
      <c r="C40">
        <v>120</v>
      </c>
      <c r="D40">
        <v>0.09</v>
      </c>
      <c r="F40">
        <f t="shared" si="16"/>
        <v>540</v>
      </c>
      <c r="G40" t="str">
        <f t="shared" si="17"/>
        <v/>
      </c>
      <c r="I40">
        <v>500</v>
      </c>
      <c r="J40">
        <f ca="1">MAX(ROUND(_N*(((VLOOKUP(Type,Vehicles[],2+USC?,0))+I40-SQRT(I40^2-VLOOKUP(Type,Vehicles[],8+USC?,0)))+_C)+(_N-1)*(SQRT(I40^2+VLOOKUP(Type,Vehicles[],4+USC?,0)*(2*VLOOKUP(Type,Vehicles[],6+USC?,0)+VLOOKUP(Type,Vehicles[],4+USC?,0)))-I40)+IF(USC?,1,0.1)*(MAX(Widening!$B$6:$P$6)/SQRT(I40))-_N/2*_Wn,1),0)</f>
        <v>4.3</v>
      </c>
    </row>
    <row r="41" spans="2:10" x14ac:dyDescent="0.2">
      <c r="B41">
        <f t="shared" ca="1" si="15"/>
        <v>15</v>
      </c>
      <c r="C41">
        <v>130</v>
      </c>
      <c r="D41">
        <v>0.08</v>
      </c>
      <c r="F41">
        <f t="shared" si="16"/>
        <v>665</v>
      </c>
      <c r="G41" t="str">
        <f t="shared" si="17"/>
        <v/>
      </c>
      <c r="I41">
        <v>450</v>
      </c>
      <c r="J41">
        <f ca="1">MAX(ROUND(_N*(((VLOOKUP(Type,Vehicles[],2+USC?,0))+I41-SQRT(I41^2-VLOOKUP(Type,Vehicles[],8+USC?,0)))+_C)+(_N-1)*(SQRT(I41^2+VLOOKUP(Type,Vehicles[],4+USC?,0)*(2*VLOOKUP(Type,Vehicles[],6+USC?,0)+VLOOKUP(Type,Vehicles[],4+USC?,0)))-I41)+IF(USC?,1,0.1)*(MAX(Widening!$B$6:$P$6)/SQRT(I41))-_N/2*_Wn,1),0)</f>
        <v>4.7</v>
      </c>
    </row>
    <row r="42" spans="2:10" x14ac:dyDescent="0.2">
      <c r="I42">
        <v>400</v>
      </c>
      <c r="J42">
        <f ca="1">MAX(ROUND(_N*(((VLOOKUP(Type,Vehicles[],2+USC?,0))+I42-SQRT(I42^2-VLOOKUP(Type,Vehicles[],8+USC?,0)))+_C)+(_N-1)*(SQRT(I42^2+VLOOKUP(Type,Vehicles[],4+USC?,0)*(2*VLOOKUP(Type,Vehicles[],6+USC?,0)+VLOOKUP(Type,Vehicles[],4+USC?,0)))-I42)+IF(USC?,1,0.1)*(MAX(Widening!$B$6:$P$6)/SQRT(I42))-_N/2*_Wn,1),0)</f>
        <v>5.0999999999999996</v>
      </c>
    </row>
    <row r="43" spans="2:10" x14ac:dyDescent="0.2">
      <c r="I43">
        <v>350</v>
      </c>
      <c r="J43">
        <f ca="1">MAX(ROUND(_N*(((VLOOKUP(Type,Vehicles[],2+USC?,0))+I43-SQRT(I43^2-VLOOKUP(Type,Vehicles[],8+USC?,0)))+_C)+(_N-1)*(SQRT(I43^2+VLOOKUP(Type,Vehicles[],4+USC?,0)*(2*VLOOKUP(Type,Vehicles[],6+USC?,0)+VLOOKUP(Type,Vehicles[],4+USC?,0)))-I43)+IF(USC?,1,0.1)*(MAX(Widening!$B$6:$P$6)/SQRT(I43))-_N/2*_Wn,1),0)</f>
        <v>5.7</v>
      </c>
    </row>
    <row r="44" spans="2:10" x14ac:dyDescent="0.2">
      <c r="I44">
        <v>300</v>
      </c>
      <c r="J44">
        <f ca="1">MAX(ROUND(_N*(((VLOOKUP(Type,Vehicles[],2+USC?,0))+I44-SQRT(I44^2-VLOOKUP(Type,Vehicles[],8+USC?,0)))+_C)+(_N-1)*(SQRT(I44^2+VLOOKUP(Type,Vehicles[],4+USC?,0)*(2*VLOOKUP(Type,Vehicles[],6+USC?,0)+VLOOKUP(Type,Vehicles[],4+USC?,0)))-I44)+IF(USC?,1,0.1)*(MAX(Widening!$B$6:$P$6)/SQRT(I44))-_N/2*_Wn,1),0)</f>
        <v>6.5</v>
      </c>
    </row>
    <row r="45" spans="2:10" x14ac:dyDescent="0.2">
      <c r="I45">
        <v>250</v>
      </c>
      <c r="J45">
        <f ca="1">MAX(ROUND(_N*(((VLOOKUP(Type,Vehicles[],2+USC?,0))+I45-SQRT(I45^2-VLOOKUP(Type,Vehicles[],8+USC?,0)))+_C)+(_N-1)*(SQRT(I45^2+VLOOKUP(Type,Vehicles[],4+USC?,0)*(2*VLOOKUP(Type,Vehicles[],6+USC?,0)+VLOOKUP(Type,Vehicles[],4+USC?,0)))-I45)+IF(USC?,1,0.1)*(MAX(Widening!$B$6:$P$6)/SQRT(I45))-_N/2*_Wn,1),0)</f>
        <v>7.5</v>
      </c>
    </row>
    <row r="46" spans="2:10" x14ac:dyDescent="0.2">
      <c r="I46">
        <v>200</v>
      </c>
      <c r="J46">
        <f ca="1">MAX(ROUND(_N*(((VLOOKUP(Type,Vehicles[],2+USC?,0))+I46-SQRT(I46^2-VLOOKUP(Type,Vehicles[],8+USC?,0)))+_C)+(_N-1)*(SQRT(I46^2+VLOOKUP(Type,Vehicles[],4+USC?,0)*(2*VLOOKUP(Type,Vehicles[],6+USC?,0)+VLOOKUP(Type,Vehicles[],4+USC?,0)))-I46)+IF(USC?,1,0.1)*(MAX(Widening!$B$6:$P$6)/SQRT(I46))-_N/2*_Wn,1),0)</f>
        <v>8.9</v>
      </c>
    </row>
    <row r="47" spans="2:10" x14ac:dyDescent="0.2">
      <c r="I47">
        <v>175</v>
      </c>
      <c r="J47">
        <f ca="1">MAX(ROUND(_N*(((VLOOKUP(Type,Vehicles[],2+USC?,0))+I47-SQRT(I47^2-VLOOKUP(Type,Vehicles[],8+USC?,0)))+_C)+(_N-1)*(SQRT(I47^2+VLOOKUP(Type,Vehicles[],4+USC?,0)*(2*VLOOKUP(Type,Vehicles[],6+USC?,0)+VLOOKUP(Type,Vehicles[],4+USC?,0)))-I47)+IF(USC?,1,0.1)*(MAX(Widening!$B$6:$P$6)/SQRT(I47))-_N/2*_Wn,1),0)</f>
        <v>9.9</v>
      </c>
    </row>
    <row r="48" spans="2:10" x14ac:dyDescent="0.2">
      <c r="I48">
        <v>150</v>
      </c>
      <c r="J48">
        <f ca="1">MAX(ROUND(_N*(((VLOOKUP(Type,Vehicles[],2+USC?,0))+I48-SQRT(I48^2-VLOOKUP(Type,Vehicles[],8+USC?,0)))+_C)+(_N-1)*(SQRT(I48^2+VLOOKUP(Type,Vehicles[],4+USC?,0)*(2*VLOOKUP(Type,Vehicles[],6+USC?,0)+VLOOKUP(Type,Vehicles[],4+USC?,0)))-I48)+IF(USC?,1,0.1)*(MAX(Widening!$B$6:$P$6)/SQRT(I48))-_N/2*_Wn,1),0)</f>
        <v>11.2</v>
      </c>
    </row>
    <row r="49" spans="9:10" x14ac:dyDescent="0.2">
      <c r="I49">
        <v>140</v>
      </c>
      <c r="J49">
        <f ca="1">MAX(ROUND(_N*(((VLOOKUP(Type,Vehicles[],2+USC?,0))+I49-SQRT(I49^2-VLOOKUP(Type,Vehicles[],8+USC?,0)))+_C)+(_N-1)*(SQRT(I49^2+VLOOKUP(Type,Vehicles[],4+USC?,0)*(2*VLOOKUP(Type,Vehicles[],6+USC?,0)+VLOOKUP(Type,Vehicles[],4+USC?,0)))-I49)+IF(USC?,1,0.1)*(MAX(Widening!$B$6:$P$6)/SQRT(I49))-_N/2*_Wn,1),0)</f>
        <v>11.9</v>
      </c>
    </row>
    <row r="50" spans="9:10" x14ac:dyDescent="0.2">
      <c r="I50">
        <v>130</v>
      </c>
      <c r="J50">
        <f ca="1">MAX(ROUND(_N*(((VLOOKUP(Type,Vehicles[],2+USC?,0))+I50-SQRT(I50^2-VLOOKUP(Type,Vehicles[],8+USC?,0)))+_C)+(_N-1)*(SQRT(I50^2+VLOOKUP(Type,Vehicles[],4+USC?,0)*(2*VLOOKUP(Type,Vehicles[],6+USC?,0)+VLOOKUP(Type,Vehicles[],4+USC?,0)))-I50)+IF(USC?,1,0.1)*(MAX(Widening!$B$6:$P$6)/SQRT(I50))-_N/2*_Wn,1),0)</f>
        <v>12.6</v>
      </c>
    </row>
    <row r="51" spans="9:10" x14ac:dyDescent="0.2">
      <c r="I51">
        <v>120</v>
      </c>
      <c r="J51">
        <f ca="1">MAX(ROUND(_N*(((VLOOKUP(Type,Vehicles[],2+USC?,0))+I51-SQRT(I51^2-VLOOKUP(Type,Vehicles[],8+USC?,0)))+_C)+(_N-1)*(SQRT(I51^2+VLOOKUP(Type,Vehicles[],4+USC?,0)*(2*VLOOKUP(Type,Vehicles[],6+USC?,0)+VLOOKUP(Type,Vehicles[],4+USC?,0)))-I51)+IF(USC?,1,0.1)*(MAX(Widening!$B$6:$P$6)/SQRT(I51))-_N/2*_Wn,1),0)</f>
        <v>13.5</v>
      </c>
    </row>
    <row r="52" spans="9:10" x14ac:dyDescent="0.2">
      <c r="I52">
        <v>110</v>
      </c>
      <c r="J52">
        <f ca="1">MAX(ROUND(_N*(((VLOOKUP(Type,Vehicles[],2+USC?,0))+I52-SQRT(I52^2-VLOOKUP(Type,Vehicles[],8+USC?,0)))+_C)+(_N-1)*(SQRT(I52^2+VLOOKUP(Type,Vehicles[],4+USC?,0)*(2*VLOOKUP(Type,Vehicles[],6+USC?,0)+VLOOKUP(Type,Vehicles[],4+USC?,0)))-I52)+IF(USC?,1,0.1)*(MAX(Widening!$B$6:$P$6)/SQRT(I52))-_N/2*_Wn,1),0)</f>
        <v>14.5</v>
      </c>
    </row>
    <row r="53" spans="9:10" x14ac:dyDescent="0.2">
      <c r="I53">
        <v>100</v>
      </c>
      <c r="J53">
        <f ca="1">MAX(ROUND(_N*(((VLOOKUP(Type,Vehicles[],2+USC?,0))+I53-SQRT(I53^2-VLOOKUP(Type,Vehicles[],8+USC?,0)))+_C)+(_N-1)*(SQRT(I53^2+VLOOKUP(Type,Vehicles[],4+USC?,0)*(2*VLOOKUP(Type,Vehicles[],6+USC?,0)+VLOOKUP(Type,Vehicles[],4+USC?,0)))-I53)+IF(USC?,1,0.1)*(MAX(Widening!$B$6:$P$6)/SQRT(I53))-_N/2*_Wn,1),0)</f>
        <v>15.7</v>
      </c>
    </row>
    <row r="54" spans="9:10" x14ac:dyDescent="0.2">
      <c r="I54">
        <v>90</v>
      </c>
      <c r="J54">
        <f ca="1">MAX(ROUND(_N*(((VLOOKUP(Type,Vehicles[],2+USC?,0))+I54-SQRT(I54^2-VLOOKUP(Type,Vehicles[],8+USC?,0)))+_C)+(_N-1)*(SQRT(I54^2+VLOOKUP(Type,Vehicles[],4+USC?,0)*(2*VLOOKUP(Type,Vehicles[],6+USC?,0)+VLOOKUP(Type,Vehicles[],4+USC?,0)))-I54)+IF(USC?,1,0.1)*(MAX(Widening!$B$6:$P$6)/SQRT(I54))-_N/2*_Wn,1),0)</f>
        <v>17.100000000000001</v>
      </c>
    </row>
    <row r="55" spans="9:10" x14ac:dyDescent="0.2">
      <c r="I55">
        <v>80</v>
      </c>
      <c r="J55">
        <f ca="1">MAX(ROUND(_N*(((VLOOKUP(Type,Vehicles[],2+USC?,0))+I55-SQRT(I55^2-VLOOKUP(Type,Vehicles[],8+USC?,0)))+_C)+(_N-1)*(SQRT(I55^2+VLOOKUP(Type,Vehicles[],4+USC?,0)*(2*VLOOKUP(Type,Vehicles[],6+USC?,0)+VLOOKUP(Type,Vehicles[],4+USC?,0)))-I55)+IF(USC?,1,0.1)*(MAX(Widening!$B$6:$P$6)/SQRT(I55))-_N/2*_Wn,1),0)</f>
        <v>18.899999999999999</v>
      </c>
    </row>
    <row r="56" spans="9:10" x14ac:dyDescent="0.2">
      <c r="I56">
        <v>70</v>
      </c>
      <c r="J56">
        <f ca="1">MAX(ROUND(_N*(((VLOOKUP(Type,Vehicles[],2+USC?,0))+I56-SQRT(I56^2-VLOOKUP(Type,Vehicles[],8+USC?,0)))+_C)+(_N-1)*(SQRT(I56^2+VLOOKUP(Type,Vehicles[],4+USC?,0)*(2*VLOOKUP(Type,Vehicles[],6+USC?,0)+VLOOKUP(Type,Vehicles[],4+USC?,0)))-I56)+IF(USC?,1,0.1)*(MAX(Widening!$B$6:$P$6)/SQRT(I56))-_N/2*_Wn,1),0)</f>
        <v>21.2</v>
      </c>
    </row>
    <row r="57" spans="9:10" x14ac:dyDescent="0.2">
      <c r="I57">
        <v>60</v>
      </c>
      <c r="J57">
        <f ca="1">MAX(ROUND(_N*(((VLOOKUP(Type,Vehicles[],2+USC?,0))+I57-SQRT(I57^2-VLOOKUP(Type,Vehicles[],8+USC?,0)))+_C)+(_N-1)*(SQRT(I57^2+VLOOKUP(Type,Vehicles[],4+USC?,0)*(2*VLOOKUP(Type,Vehicles[],6+USC?,0)+VLOOKUP(Type,Vehicles[],4+USC?,0)))-I57)+IF(USC?,1,0.1)*(MAX(Widening!$B$6:$P$6)/SQRT(I57))-_N/2*_Wn,1),0)</f>
        <v>24.3</v>
      </c>
    </row>
    <row r="58" spans="9:10" x14ac:dyDescent="0.2">
      <c r="I58">
        <v>50</v>
      </c>
      <c r="J58">
        <f ca="1">MAX(ROUND(_N*(((VLOOKUP(Type,Vehicles[],2+USC?,0))+I58-SQRT(I58^2-VLOOKUP(Type,Vehicles[],8+USC?,0)))+_C)+(_N-1)*(SQRT(I58^2+VLOOKUP(Type,Vehicles[],4+USC?,0)*(2*VLOOKUP(Type,Vehicles[],6+USC?,0)+VLOOKUP(Type,Vehicles[],4+USC?,0)))-I58)+IF(USC?,1,0.1)*(MAX(Widening!$B$6:$P$6)/SQRT(I58))-_N/2*_Wn,1),0)</f>
        <v>28.8</v>
      </c>
    </row>
    <row r="59" spans="9:10" x14ac:dyDescent="0.2">
      <c r="I59">
        <v>40</v>
      </c>
      <c r="J59">
        <f ca="1">MAX(ROUND(_N*(((VLOOKUP(Type,Vehicles[],2+USC?,0))+I59-SQRT(I59^2-VLOOKUP(Type,Vehicles[],8+USC?,0)))+_C)+(_N-1)*(SQRT(I59^2+VLOOKUP(Type,Vehicles[],4+USC?,0)*(2*VLOOKUP(Type,Vehicles[],6+USC?,0)+VLOOKUP(Type,Vehicles[],4+USC?,0)))-I59)+IF(USC?,1,0.1)*(MAX(Widening!$B$6:$P$6)/SQRT(I59))-_N/2*_Wn,1),0)</f>
        <v>36.299999999999997</v>
      </c>
    </row>
    <row r="60" spans="9:10" x14ac:dyDescent="0.2">
      <c r="I60">
        <v>30</v>
      </c>
      <c r="J60">
        <f ca="1">MAX(ROUND(_N*(((VLOOKUP(Type,Vehicles[],2+USC?,0))+I60-SQRT(I60^2-VLOOKUP(Type,Vehicles[],8+USC?,0)))+_C)+(_N-1)*(SQRT(I60^2+VLOOKUP(Type,Vehicles[],4+USC?,0)*(2*VLOOKUP(Type,Vehicles[],6+USC?,0)+VLOOKUP(Type,Vehicles[],4+USC?,0)))-I60)+IF(USC?,1,0.1)*(MAX(Widening!$B$6:$P$6)/SQRT(I60))-_N/2*_Wn,1),0)</f>
        <v>55.6</v>
      </c>
    </row>
    <row r="61" spans="9:10" x14ac:dyDescent="0.2">
      <c r="I61">
        <v>25</v>
      </c>
      <c r="J61" t="e">
        <f ca="1">MAX(ROUND(_N*(((VLOOKUP(Type,Vehicles[],2+USC?,0))+I61-SQRT(I61^2-VLOOKUP(Type,Vehicles[],8+USC?,0)))+_C)+(_N-1)*(SQRT(I61^2+VLOOKUP(Type,Vehicles[],4+USC?,0)*(2*VLOOKUP(Type,Vehicles[],6+USC?,0)+VLOOKUP(Type,Vehicles[],4+USC?,0)))-I61)+IF(USC?,1,0.1)*(MAX(Widening!$B$6:$P$6)/SQRT(I61))-_N/2*_Wn,1),0)</f>
        <v>#NUM!</v>
      </c>
    </row>
    <row r="62" spans="9:10" x14ac:dyDescent="0.2">
      <c r="I62">
        <v>20</v>
      </c>
      <c r="J62" t="e">
        <f ca="1">MAX(ROUND(_N*(((VLOOKUP(Type,Vehicles[],2+USC?,0))+I62-SQRT(I62^2-VLOOKUP(Type,Vehicles[],8+USC?,0)))+_C)+(_N-1)*(SQRT(I62^2+VLOOKUP(Type,Vehicles[],4+USC?,0)*(2*VLOOKUP(Type,Vehicles[],6+USC?,0)+VLOOKUP(Type,Vehicles[],4+USC?,0)))-I62)+IF(USC?,1,0.1)*(MAX(Widening!$B$6:$P$6)/SQRT(I62))-_N/2*_Wn,1),0)</f>
        <v>#NUM!</v>
      </c>
    </row>
    <row r="63" spans="9:10" x14ac:dyDescent="0.2">
      <c r="I63">
        <v>15</v>
      </c>
      <c r="J63" t="e">
        <f ca="1">MAX(ROUND(_N*(((VLOOKUP(Type,Vehicles[],2+USC?,0))+I63-SQRT(I63^2-VLOOKUP(Type,Vehicles[],8+USC?,0)))+_C)+(_N-1)*(SQRT(I63^2+VLOOKUP(Type,Vehicles[],4+USC?,0)*(2*VLOOKUP(Type,Vehicles[],6+USC?,0)+VLOOKUP(Type,Vehicles[],4+USC?,0)))-I63)+IF(USC?,1,0.1)*(MAX(Widening!$B$6:$P$6)/SQRT(I63))-_N/2*_Wn,1),0)</f>
        <v>#NUM!</v>
      </c>
    </row>
  </sheetData>
  <sheetProtection sheet="1" objects="1" scenarios="1"/>
  <conditionalFormatting sqref="L3:AL22">
    <cfRule type="expression" dxfId="35" priority="1">
      <formula>LEFT(L$28,FIND(" ",L$28))&lt;&gt;LEFT(OFFSET(L$28,0,-1),FIND(" ",OFFSET(L$28,0,-1)))</formula>
    </cfRule>
  </conditionalFormatting>
  <pageMargins left="0.7" right="0.7" top="0.75" bottom="0.75" header="0.3" footer="0.3"/>
  <pageSetup orientation="portrait" horizontalDpi="1200" verticalDpi="1200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Widening</vt:lpstr>
      <vt:lpstr>Values</vt:lpstr>
      <vt:lpstr>Values!_C</vt:lpstr>
      <vt:lpstr>Widening!_C</vt:lpstr>
      <vt:lpstr>_e</vt:lpstr>
      <vt:lpstr>_N</vt:lpstr>
      <vt:lpstr>_Wn</vt:lpstr>
      <vt:lpstr>Max.Radius</vt:lpstr>
      <vt:lpstr>Min.Speed</vt:lpstr>
      <vt:lpstr>Widening!Print_Area</vt:lpstr>
      <vt:lpstr>Widening!Print_Titles</vt:lpstr>
      <vt:lpstr>Type</vt:lpstr>
      <vt:lpstr>USC?</vt:lpstr>
    </vt:vector>
  </TitlesOfParts>
  <Company>Federal Highway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Harman</dc:creator>
  <cp:lastModifiedBy>Stephen Chapman</cp:lastModifiedBy>
  <cp:lastPrinted>2012-08-07T14:09:03Z</cp:lastPrinted>
  <dcterms:created xsi:type="dcterms:W3CDTF">2000-12-21T16:08:47Z</dcterms:created>
  <dcterms:modified xsi:type="dcterms:W3CDTF">2012-09-10T15:48:03Z</dcterms:modified>
</cp:coreProperties>
</file>