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__Pay Item work FP03 &amp; FP14 &amp; FP24\z_Pay Item Team FP24 items - ORIG\Incentive spreadsheet\"/>
    </mc:Choice>
  </mc:AlternateContent>
  <xr:revisionPtr revIDLastSave="0" documentId="13_ncr:1_{2B1E7955-2682-4B28-B524-1D14F2FE1ED2}" xr6:coauthVersionLast="47" xr6:coauthVersionMax="47" xr10:uidLastSave="{00000000-0000-0000-0000-000000000000}"/>
  <bookViews>
    <workbookView xWindow="-120" yWindow="-120" windowWidth="29040" windowHeight="15840" xr2:uid="{1DBE54B7-40A5-430F-8A69-0CF7134729F8}"/>
  </bookViews>
  <sheets>
    <sheet name="Sheet1" sheetId="1" r:id="rId1"/>
    <sheet name="Sheet2" sheetId="14" r:id="rId2"/>
    <sheet name="Sheet3" sheetId="19" r:id="rId3"/>
    <sheet name="Sheet4" sheetId="20" r:id="rId4"/>
    <sheet name="Sheet5" sheetId="21" r:id="rId5"/>
    <sheet name="Sheet6" sheetId="22" r:id="rId6"/>
    <sheet name="Acquisition Incentive Summary" sheetId="5" r:id="rId7"/>
  </sheets>
  <definedNames>
    <definedName name="FP" localSheetId="1">Sheet2!$D$2</definedName>
    <definedName name="FP" localSheetId="2">Sheet3!$D$2</definedName>
    <definedName name="FP" localSheetId="3">Sheet4!$D$2</definedName>
    <definedName name="FP" localSheetId="4">Sheet5!$D$2</definedName>
    <definedName name="FP" localSheetId="5">Sheet6!$D$2</definedName>
    <definedName name="FP">Sheet1!$D$2</definedName>
    <definedName name="_xlnm.Print_Area" localSheetId="0">Sheet1!$A$1:$H$209</definedName>
    <definedName name="_xlnm.Print_Area" localSheetId="1">Sheet2!$A$1:$H$209</definedName>
    <definedName name="_xlnm.Print_Area" localSheetId="2">Sheet3!$A$1:$H$209</definedName>
    <definedName name="_xlnm.Print_Area" localSheetId="3">Sheet4!$A$1:$H$209</definedName>
    <definedName name="_xlnm.Print_Area" localSheetId="4">Sheet5!$A$1:$H$209</definedName>
    <definedName name="_xlnm.Print_Area" localSheetId="5">Sheet6!$A$1:$H$209</definedName>
    <definedName name="Units" localSheetId="1">Sheet2!$H$10</definedName>
    <definedName name="Units" localSheetId="2">Sheet3!$H$10</definedName>
    <definedName name="Units" localSheetId="3">Sheet4!$H$10</definedName>
    <definedName name="Units" localSheetId="4">Sheet5!$H$10</definedName>
    <definedName name="Units" localSheetId="5">Sheet6!$H$10</definedName>
    <definedName name="Units">Sheet1!$H$10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4" i="19" l="1"/>
  <c r="D123" i="1"/>
  <c r="D114" i="1"/>
  <c r="D111" i="1"/>
  <c r="D101" i="1"/>
  <c r="D119" i="1"/>
  <c r="D126" i="1" l="1"/>
  <c r="D130" i="1"/>
  <c r="D133" i="1"/>
  <c r="D136" i="1"/>
  <c r="I22" i="5" l="1"/>
  <c r="I19" i="5"/>
  <c r="H22" i="5"/>
  <c r="H19" i="5"/>
  <c r="G22" i="5"/>
  <c r="G19" i="5"/>
  <c r="F22" i="5"/>
  <c r="F19" i="5"/>
  <c r="I14" i="5"/>
  <c r="I13" i="5"/>
  <c r="H14" i="5"/>
  <c r="H13" i="5"/>
  <c r="G14" i="5"/>
  <c r="G13" i="5"/>
  <c r="F14" i="5"/>
  <c r="F13" i="5"/>
  <c r="E14" i="5"/>
  <c r="E13" i="5"/>
  <c r="D14" i="5"/>
  <c r="D13" i="5"/>
  <c r="F201" i="22"/>
  <c r="F197" i="22"/>
  <c r="F195" i="22"/>
  <c r="F184" i="22"/>
  <c r="I21" i="5" s="1"/>
  <c r="F178" i="22"/>
  <c r="F169" i="22"/>
  <c r="F168" i="22"/>
  <c r="F166" i="22"/>
  <c r="F164" i="22"/>
  <c r="H158" i="22"/>
  <c r="G158" i="22"/>
  <c r="H157" i="22"/>
  <c r="G157" i="22"/>
  <c r="B157" i="22"/>
  <c r="H155" i="22"/>
  <c r="D153" i="22"/>
  <c r="F137" i="22"/>
  <c r="F135" i="22"/>
  <c r="F134" i="22"/>
  <c r="F132" i="22"/>
  <c r="F131" i="22"/>
  <c r="F129" i="22"/>
  <c r="F128" i="22"/>
  <c r="F127" i="22"/>
  <c r="F125" i="22"/>
  <c r="F124" i="22"/>
  <c r="F122" i="22"/>
  <c r="F121" i="22"/>
  <c r="F120" i="22"/>
  <c r="F118" i="22"/>
  <c r="F117" i="22"/>
  <c r="F116" i="22"/>
  <c r="F115" i="22"/>
  <c r="F113" i="22"/>
  <c r="F112" i="22"/>
  <c r="F110" i="22"/>
  <c r="F109" i="22"/>
  <c r="F108" i="22"/>
  <c r="F107" i="22"/>
  <c r="F106" i="22"/>
  <c r="F105" i="22"/>
  <c r="F104" i="22"/>
  <c r="F103" i="22"/>
  <c r="F102" i="22"/>
  <c r="F100" i="22"/>
  <c r="F99" i="22"/>
  <c r="F98" i="22"/>
  <c r="F97" i="22"/>
  <c r="F96" i="22"/>
  <c r="F95" i="22"/>
  <c r="F94" i="22"/>
  <c r="F93" i="22"/>
  <c r="F92" i="22"/>
  <c r="F91" i="22"/>
  <c r="H85" i="22"/>
  <c r="G85" i="22"/>
  <c r="H84" i="22"/>
  <c r="G84" i="22"/>
  <c r="H82" i="22"/>
  <c r="D80" i="22"/>
  <c r="H62" i="22"/>
  <c r="H60" i="22"/>
  <c r="H45" i="22"/>
  <c r="G45" i="22"/>
  <c r="H37" i="22"/>
  <c r="G37" i="22"/>
  <c r="H35" i="22"/>
  <c r="G35" i="22"/>
  <c r="H33" i="22"/>
  <c r="G33" i="22"/>
  <c r="H25" i="22"/>
  <c r="G25" i="22"/>
  <c r="H23" i="22"/>
  <c r="G23" i="22"/>
  <c r="H21" i="22"/>
  <c r="G21" i="22"/>
  <c r="H19" i="22"/>
  <c r="G19" i="22"/>
  <c r="H17" i="22"/>
  <c r="G17" i="22"/>
  <c r="H15" i="22"/>
  <c r="H52" i="22" s="1"/>
  <c r="G15" i="22"/>
  <c r="H10" i="22"/>
  <c r="F6" i="22"/>
  <c r="E6" i="22"/>
  <c r="D6" i="22"/>
  <c r="C6" i="22"/>
  <c r="B6" i="22"/>
  <c r="B84" i="22" s="1"/>
  <c r="H4" i="22"/>
  <c r="B4" i="22"/>
  <c r="D2" i="22"/>
  <c r="B120" i="22" s="1"/>
  <c r="F201" i="21"/>
  <c r="F197" i="21"/>
  <c r="F195" i="21"/>
  <c r="F184" i="21"/>
  <c r="H21" i="5" s="1"/>
  <c r="F178" i="21"/>
  <c r="F169" i="21"/>
  <c r="F168" i="21"/>
  <c r="F166" i="21"/>
  <c r="F164" i="21"/>
  <c r="H158" i="21"/>
  <c r="G158" i="21"/>
  <c r="H157" i="21"/>
  <c r="G157" i="21"/>
  <c r="H155" i="21"/>
  <c r="D153" i="21"/>
  <c r="F137" i="21"/>
  <c r="F135" i="21"/>
  <c r="F134" i="21"/>
  <c r="F132" i="21"/>
  <c r="F131" i="21"/>
  <c r="F129" i="21"/>
  <c r="F128" i="21"/>
  <c r="F127" i="21"/>
  <c r="F125" i="21"/>
  <c r="F124" i="21"/>
  <c r="F122" i="21"/>
  <c r="F121" i="21"/>
  <c r="F120" i="21"/>
  <c r="F118" i="21"/>
  <c r="F117" i="21"/>
  <c r="F116" i="21"/>
  <c r="F115" i="21"/>
  <c r="F113" i="21"/>
  <c r="F112" i="21"/>
  <c r="F110" i="21"/>
  <c r="F109" i="21"/>
  <c r="F108" i="21"/>
  <c r="F107" i="21"/>
  <c r="F106" i="21"/>
  <c r="F105" i="21"/>
  <c r="F104" i="21"/>
  <c r="F103" i="21"/>
  <c r="F102" i="21"/>
  <c r="F100" i="21"/>
  <c r="F99" i="21"/>
  <c r="F98" i="21"/>
  <c r="F97" i="21"/>
  <c r="F96" i="21"/>
  <c r="F95" i="21"/>
  <c r="F94" i="21"/>
  <c r="F93" i="21"/>
  <c r="F92" i="21"/>
  <c r="F91" i="21"/>
  <c r="H85" i="21"/>
  <c r="G85" i="21"/>
  <c r="H84" i="21"/>
  <c r="G84" i="21"/>
  <c r="H82" i="21"/>
  <c r="D80" i="21"/>
  <c r="H62" i="21"/>
  <c r="H60" i="21"/>
  <c r="H45" i="21"/>
  <c r="G45" i="21"/>
  <c r="H37" i="21"/>
  <c r="G37" i="21"/>
  <c r="H35" i="21"/>
  <c r="G35" i="21"/>
  <c r="H33" i="21"/>
  <c r="G33" i="21"/>
  <c r="H25" i="21"/>
  <c r="G25" i="21"/>
  <c r="H23" i="21"/>
  <c r="G23" i="21"/>
  <c r="H21" i="21"/>
  <c r="G21" i="21"/>
  <c r="H19" i="21"/>
  <c r="G19" i="21"/>
  <c r="H17" i="21"/>
  <c r="G17" i="21"/>
  <c r="H15" i="21"/>
  <c r="H52" i="21" s="1"/>
  <c r="G15" i="21"/>
  <c r="H10" i="21"/>
  <c r="F6" i="21"/>
  <c r="E6" i="21"/>
  <c r="D6" i="21"/>
  <c r="C6" i="21"/>
  <c r="B6" i="21"/>
  <c r="B157" i="21" s="1"/>
  <c r="H4" i="21"/>
  <c r="B4" i="21"/>
  <c r="D2" i="21"/>
  <c r="B120" i="21" s="1"/>
  <c r="F201" i="20"/>
  <c r="F197" i="20"/>
  <c r="F195" i="20"/>
  <c r="F184" i="20"/>
  <c r="G21" i="5" s="1"/>
  <c r="F178" i="20"/>
  <c r="F169" i="20"/>
  <c r="F168" i="20"/>
  <c r="F166" i="20"/>
  <c r="F164" i="20"/>
  <c r="H158" i="20"/>
  <c r="G158" i="20"/>
  <c r="H157" i="20"/>
  <c r="G157" i="20"/>
  <c r="H155" i="20"/>
  <c r="D153" i="20"/>
  <c r="F137" i="20"/>
  <c r="F135" i="20"/>
  <c r="F134" i="20"/>
  <c r="F132" i="20"/>
  <c r="F131" i="20"/>
  <c r="F129" i="20"/>
  <c r="F128" i="20"/>
  <c r="F127" i="20"/>
  <c r="F125" i="20"/>
  <c r="F124" i="20"/>
  <c r="F122" i="20"/>
  <c r="F121" i="20"/>
  <c r="F120" i="20"/>
  <c r="F118" i="20"/>
  <c r="F117" i="20"/>
  <c r="F116" i="20"/>
  <c r="F115" i="20"/>
  <c r="F113" i="20"/>
  <c r="F112" i="20"/>
  <c r="F110" i="20"/>
  <c r="F109" i="20"/>
  <c r="F108" i="20"/>
  <c r="F107" i="20"/>
  <c r="F106" i="20"/>
  <c r="F105" i="20"/>
  <c r="F104" i="20"/>
  <c r="F103" i="20"/>
  <c r="F102" i="20"/>
  <c r="F100" i="20"/>
  <c r="F99" i="20"/>
  <c r="F98" i="20"/>
  <c r="F97" i="20"/>
  <c r="F96" i="20"/>
  <c r="F95" i="20"/>
  <c r="F94" i="20"/>
  <c r="F93" i="20"/>
  <c r="F92" i="20"/>
  <c r="F91" i="20"/>
  <c r="H85" i="20"/>
  <c r="G85" i="20"/>
  <c r="H84" i="20"/>
  <c r="G84" i="20"/>
  <c r="H82" i="20"/>
  <c r="D80" i="20"/>
  <c r="H62" i="20"/>
  <c r="H60" i="20"/>
  <c r="H45" i="20"/>
  <c r="G45" i="20"/>
  <c r="H37" i="20"/>
  <c r="G37" i="20"/>
  <c r="H35" i="20"/>
  <c r="G35" i="20"/>
  <c r="H33" i="20"/>
  <c r="G33" i="20"/>
  <c r="H25" i="20"/>
  <c r="G25" i="20"/>
  <c r="H23" i="20"/>
  <c r="G23" i="20"/>
  <c r="H21" i="20"/>
  <c r="G21" i="20"/>
  <c r="H19" i="20"/>
  <c r="G19" i="20"/>
  <c r="H17" i="20"/>
  <c r="G17" i="20"/>
  <c r="H15" i="20"/>
  <c r="H52" i="20" s="1"/>
  <c r="G15" i="20"/>
  <c r="H10" i="20"/>
  <c r="F6" i="20"/>
  <c r="E6" i="20"/>
  <c r="D6" i="20"/>
  <c r="C6" i="20"/>
  <c r="B6" i="20"/>
  <c r="B157" i="20" s="1"/>
  <c r="H4" i="20"/>
  <c r="B4" i="20"/>
  <c r="D2" i="20"/>
  <c r="B120" i="20" s="1"/>
  <c r="F201" i="19"/>
  <c r="F197" i="19"/>
  <c r="F195" i="19"/>
  <c r="F184" i="19"/>
  <c r="F21" i="5" s="1"/>
  <c r="F178" i="19"/>
  <c r="F169" i="19"/>
  <c r="F168" i="19"/>
  <c r="F166" i="19"/>
  <c r="H158" i="19"/>
  <c r="G158" i="19"/>
  <c r="H157" i="19"/>
  <c r="G157" i="19"/>
  <c r="H155" i="19"/>
  <c r="D153" i="19"/>
  <c r="F137" i="19"/>
  <c r="F135" i="19"/>
  <c r="F134" i="19"/>
  <c r="F132" i="19"/>
  <c r="F131" i="19"/>
  <c r="F129" i="19"/>
  <c r="F128" i="19"/>
  <c r="F127" i="19"/>
  <c r="F125" i="19"/>
  <c r="F124" i="19"/>
  <c r="F122" i="19"/>
  <c r="F121" i="19"/>
  <c r="F120" i="19"/>
  <c r="F118" i="19"/>
  <c r="F117" i="19"/>
  <c r="F116" i="19"/>
  <c r="F115" i="19"/>
  <c r="F113" i="19"/>
  <c r="F112" i="19"/>
  <c r="F110" i="19"/>
  <c r="F109" i="19"/>
  <c r="F108" i="19"/>
  <c r="F107" i="19"/>
  <c r="F106" i="19"/>
  <c r="F105" i="19"/>
  <c r="F104" i="19"/>
  <c r="F103" i="19"/>
  <c r="F102" i="19"/>
  <c r="F100" i="19"/>
  <c r="F99" i="19"/>
  <c r="F98" i="19"/>
  <c r="F97" i="19"/>
  <c r="F96" i="19"/>
  <c r="F95" i="19"/>
  <c r="F94" i="19"/>
  <c r="F93" i="19"/>
  <c r="F92" i="19"/>
  <c r="F91" i="19"/>
  <c r="H85" i="19"/>
  <c r="G85" i="19"/>
  <c r="H84" i="19"/>
  <c r="G84" i="19"/>
  <c r="H82" i="19"/>
  <c r="D80" i="19"/>
  <c r="H62" i="19"/>
  <c r="H60" i="19"/>
  <c r="H45" i="19"/>
  <c r="G45" i="19"/>
  <c r="H37" i="19"/>
  <c r="G37" i="19"/>
  <c r="H35" i="19"/>
  <c r="G35" i="19"/>
  <c r="H33" i="19"/>
  <c r="G33" i="19"/>
  <c r="H25" i="19"/>
  <c r="G25" i="19"/>
  <c r="H23" i="19"/>
  <c r="G23" i="19"/>
  <c r="H21" i="19"/>
  <c r="G21" i="19"/>
  <c r="H19" i="19"/>
  <c r="G19" i="19"/>
  <c r="H17" i="19"/>
  <c r="G17" i="19"/>
  <c r="H15" i="19"/>
  <c r="H52" i="19" s="1"/>
  <c r="G15" i="19"/>
  <c r="H10" i="19"/>
  <c r="F6" i="19"/>
  <c r="E6" i="19"/>
  <c r="D6" i="19"/>
  <c r="C6" i="19"/>
  <c r="B6" i="19"/>
  <c r="B84" i="19" s="1"/>
  <c r="H4" i="19"/>
  <c r="B4" i="19"/>
  <c r="B155" i="19" s="1"/>
  <c r="D2" i="19"/>
  <c r="A165" i="19" s="1"/>
  <c r="B35" i="1"/>
  <c r="H158" i="14"/>
  <c r="G158" i="14"/>
  <c r="H85" i="14"/>
  <c r="G85" i="14"/>
  <c r="H158" i="1"/>
  <c r="G158" i="1"/>
  <c r="H85" i="1"/>
  <c r="G85" i="1"/>
  <c r="B82" i="20" l="1"/>
  <c r="B155" i="20"/>
  <c r="B155" i="21"/>
  <c r="B82" i="21"/>
  <c r="B82" i="22"/>
  <c r="B155" i="22"/>
  <c r="D59" i="20"/>
  <c r="D133" i="20"/>
  <c r="D130" i="20"/>
  <c r="D119" i="20"/>
  <c r="D136" i="20"/>
  <c r="D123" i="20"/>
  <c r="D126" i="20"/>
  <c r="D114" i="20"/>
  <c r="D111" i="20"/>
  <c r="D123" i="21"/>
  <c r="D119" i="21"/>
  <c r="D114" i="21"/>
  <c r="D136" i="21"/>
  <c r="D111" i="21"/>
  <c r="D130" i="21"/>
  <c r="D133" i="21"/>
  <c r="D126" i="21"/>
  <c r="D136" i="19"/>
  <c r="D133" i="19"/>
  <c r="D130" i="19"/>
  <c r="D123" i="19"/>
  <c r="D119" i="19"/>
  <c r="D126" i="19"/>
  <c r="D114" i="19"/>
  <c r="D111" i="19"/>
  <c r="D59" i="22"/>
  <c r="D136" i="22"/>
  <c r="D133" i="22"/>
  <c r="D130" i="22"/>
  <c r="D119" i="22"/>
  <c r="D111" i="22"/>
  <c r="D126" i="22"/>
  <c r="D114" i="22"/>
  <c r="D123" i="22"/>
  <c r="B37" i="22"/>
  <c r="A21" i="22"/>
  <c r="B62" i="22"/>
  <c r="A122" i="22"/>
  <c r="B122" i="22"/>
  <c r="A98" i="22"/>
  <c r="B98" i="22"/>
  <c r="A37" i="22"/>
  <c r="H86" i="21"/>
  <c r="D101" i="21"/>
  <c r="D90" i="21"/>
  <c r="C112" i="21"/>
  <c r="C134" i="22"/>
  <c r="C112" i="22"/>
  <c r="C137" i="22"/>
  <c r="G32" i="21"/>
  <c r="D101" i="22"/>
  <c r="C124" i="22"/>
  <c r="D32" i="21"/>
  <c r="C137" i="21"/>
  <c r="C102" i="22"/>
  <c r="H65" i="22"/>
  <c r="I20" i="5" s="1"/>
  <c r="C120" i="19"/>
  <c r="C134" i="21"/>
  <c r="C127" i="19"/>
  <c r="C91" i="21"/>
  <c r="C102" i="21"/>
  <c r="G32" i="22"/>
  <c r="G32" i="19"/>
  <c r="D32" i="19"/>
  <c r="B98" i="21"/>
  <c r="A98" i="21"/>
  <c r="A122" i="21"/>
  <c r="A15" i="21"/>
  <c r="H65" i="21"/>
  <c r="H20" i="5" s="1"/>
  <c r="A21" i="19"/>
  <c r="B21" i="19"/>
  <c r="A122" i="20"/>
  <c r="A98" i="20"/>
  <c r="B98" i="20"/>
  <c r="B122" i="21"/>
  <c r="A37" i="20"/>
  <c r="B122" i="20"/>
  <c r="B62" i="21"/>
  <c r="A21" i="20"/>
  <c r="B37" i="20"/>
  <c r="A15" i="19"/>
  <c r="A15" i="22"/>
  <c r="A21" i="21"/>
  <c r="A15" i="20"/>
  <c r="A37" i="21"/>
  <c r="B62" i="20"/>
  <c r="B37" i="21"/>
  <c r="C134" i="20"/>
  <c r="D14" i="22"/>
  <c r="C124" i="20"/>
  <c r="G14" i="22"/>
  <c r="G44" i="22"/>
  <c r="H86" i="22"/>
  <c r="C112" i="19"/>
  <c r="D14" i="19"/>
  <c r="D44" i="19"/>
  <c r="D90" i="19"/>
  <c r="D101" i="19"/>
  <c r="D14" i="21"/>
  <c r="C120" i="21"/>
  <c r="C131" i="21"/>
  <c r="D90" i="22"/>
  <c r="C131" i="22"/>
  <c r="C134" i="19"/>
  <c r="G44" i="19"/>
  <c r="C91" i="19"/>
  <c r="C102" i="19"/>
  <c r="G14" i="21"/>
  <c r="D32" i="22"/>
  <c r="C91" i="22"/>
  <c r="G32" i="20"/>
  <c r="C91" i="20"/>
  <c r="H65" i="20"/>
  <c r="G20" i="5" s="1"/>
  <c r="D101" i="20"/>
  <c r="C112" i="20"/>
  <c r="C131" i="20"/>
  <c r="C124" i="19"/>
  <c r="C102" i="20"/>
  <c r="G44" i="21"/>
  <c r="D44" i="22"/>
  <c r="C120" i="22"/>
  <c r="G14" i="20"/>
  <c r="C137" i="20"/>
  <c r="G44" i="20"/>
  <c r="H86" i="20"/>
  <c r="D14" i="20"/>
  <c r="C127" i="20"/>
  <c r="D44" i="20"/>
  <c r="C120" i="20"/>
  <c r="D32" i="20"/>
  <c r="D90" i="20"/>
  <c r="F174" i="21"/>
  <c r="F180" i="21" s="1"/>
  <c r="F174" i="22"/>
  <c r="F180" i="22" s="1"/>
  <c r="B15" i="22"/>
  <c r="B17" i="22"/>
  <c r="B45" i="22"/>
  <c r="A167" i="22"/>
  <c r="A35" i="22"/>
  <c r="C127" i="22"/>
  <c r="A136" i="22"/>
  <c r="A165" i="22"/>
  <c r="B35" i="22"/>
  <c r="A121" i="22"/>
  <c r="H65" i="19"/>
  <c r="F20" i="5" s="1"/>
  <c r="B23" i="22"/>
  <c r="A19" i="22"/>
  <c r="A25" i="22"/>
  <c r="A97" i="22"/>
  <c r="C115" i="22"/>
  <c r="B121" i="22"/>
  <c r="A137" i="22"/>
  <c r="H159" i="22"/>
  <c r="B19" i="22"/>
  <c r="B25" i="22"/>
  <c r="B97" i="22"/>
  <c r="B137" i="22"/>
  <c r="A163" i="22"/>
  <c r="A33" i="22"/>
  <c r="B76" i="22"/>
  <c r="B33" i="22"/>
  <c r="A120" i="22"/>
  <c r="B21" i="22"/>
  <c r="A119" i="22"/>
  <c r="A17" i="22"/>
  <c r="A23" i="22"/>
  <c r="A45" i="22"/>
  <c r="A167" i="21"/>
  <c r="A35" i="21"/>
  <c r="B84" i="21"/>
  <c r="C127" i="21"/>
  <c r="A136" i="21"/>
  <c r="B15" i="21"/>
  <c r="B17" i="21"/>
  <c r="B45" i="21"/>
  <c r="B35" i="21"/>
  <c r="A121" i="21"/>
  <c r="F174" i="20"/>
  <c r="F180" i="20" s="1"/>
  <c r="A19" i="21"/>
  <c r="A25" i="21"/>
  <c r="A97" i="21"/>
  <c r="C115" i="21"/>
  <c r="B121" i="21"/>
  <c r="A137" i="21"/>
  <c r="H159" i="21"/>
  <c r="B23" i="21"/>
  <c r="B19" i="21"/>
  <c r="B25" i="21"/>
  <c r="D59" i="21"/>
  <c r="B97" i="21"/>
  <c r="B137" i="21"/>
  <c r="A163" i="21"/>
  <c r="A165" i="21"/>
  <c r="A33" i="21"/>
  <c r="D44" i="21"/>
  <c r="B76" i="21"/>
  <c r="C124" i="21"/>
  <c r="B33" i="21"/>
  <c r="A120" i="21"/>
  <c r="B21" i="21"/>
  <c r="A119" i="21"/>
  <c r="A17" i="21"/>
  <c r="A23" i="21"/>
  <c r="A45" i="21"/>
  <c r="A165" i="20"/>
  <c r="B33" i="20"/>
  <c r="F174" i="19"/>
  <c r="F180" i="19" s="1"/>
  <c r="B45" i="20"/>
  <c r="A167" i="20"/>
  <c r="A35" i="20"/>
  <c r="B84" i="20"/>
  <c r="A136" i="20"/>
  <c r="B35" i="20"/>
  <c r="A121" i="20"/>
  <c r="B76" i="20"/>
  <c r="A19" i="20"/>
  <c r="A25" i="20"/>
  <c r="A97" i="20"/>
  <c r="C115" i="20"/>
  <c r="B121" i="20"/>
  <c r="A137" i="20"/>
  <c r="H159" i="20"/>
  <c r="B15" i="20"/>
  <c r="A119" i="20"/>
  <c r="A33" i="20"/>
  <c r="B17" i="20"/>
  <c r="B23" i="20"/>
  <c r="B19" i="20"/>
  <c r="B25" i="20"/>
  <c r="B97" i="20"/>
  <c r="B137" i="20"/>
  <c r="A163" i="20"/>
  <c r="B21" i="20"/>
  <c r="A120" i="20"/>
  <c r="A17" i="20"/>
  <c r="A23" i="20"/>
  <c r="A45" i="20"/>
  <c r="A120" i="19"/>
  <c r="B157" i="19"/>
  <c r="A35" i="19"/>
  <c r="A19" i="19"/>
  <c r="A25" i="19"/>
  <c r="A97" i="19"/>
  <c r="C115" i="19"/>
  <c r="B121" i="19"/>
  <c r="A137" i="19"/>
  <c r="H159" i="19"/>
  <c r="B76" i="19"/>
  <c r="A17" i="19"/>
  <c r="A121" i="19"/>
  <c r="B19" i="19"/>
  <c r="B25" i="19"/>
  <c r="D59" i="19"/>
  <c r="B97" i="19"/>
  <c r="B137" i="19"/>
  <c r="A163" i="19"/>
  <c r="B15" i="19"/>
  <c r="A33" i="19"/>
  <c r="B33" i="19"/>
  <c r="B120" i="19"/>
  <c r="B17" i="19"/>
  <c r="B23" i="19"/>
  <c r="B45" i="19"/>
  <c r="A136" i="19"/>
  <c r="B35" i="19"/>
  <c r="A37" i="19"/>
  <c r="A122" i="19"/>
  <c r="C137" i="19"/>
  <c r="A119" i="19"/>
  <c r="A23" i="19"/>
  <c r="A45" i="19"/>
  <c r="B82" i="19"/>
  <c r="A167" i="19"/>
  <c r="G14" i="19"/>
  <c r="B37" i="19"/>
  <c r="B62" i="19"/>
  <c r="H86" i="19"/>
  <c r="A98" i="19"/>
  <c r="B122" i="19"/>
  <c r="C131" i="19"/>
  <c r="B98" i="19"/>
  <c r="A19" i="1" l="1"/>
  <c r="F169" i="14"/>
  <c r="F168" i="14"/>
  <c r="F166" i="14"/>
  <c r="F164" i="14"/>
  <c r="I17" i="5"/>
  <c r="H17" i="5"/>
  <c r="G17" i="5"/>
  <c r="F17" i="5"/>
  <c r="F178" i="14"/>
  <c r="D153" i="14" l="1"/>
  <c r="D80" i="14"/>
  <c r="G33" i="14"/>
  <c r="H33" i="14" s="1"/>
  <c r="G35" i="14"/>
  <c r="H35" i="14" s="1"/>
  <c r="G37" i="14"/>
  <c r="H37" i="14" s="1"/>
  <c r="G45" i="14"/>
  <c r="H45" i="14" s="1"/>
  <c r="G25" i="14"/>
  <c r="H25" i="14" s="1"/>
  <c r="G23" i="14"/>
  <c r="H23" i="14" s="1"/>
  <c r="G21" i="14"/>
  <c r="H21" i="14" s="1"/>
  <c r="G19" i="14"/>
  <c r="H19" i="14" s="1"/>
  <c r="G17" i="14"/>
  <c r="H17" i="14" s="1"/>
  <c r="G15" i="14"/>
  <c r="H15" i="14" s="1"/>
  <c r="H82" i="14"/>
  <c r="G84" i="14"/>
  <c r="H84" i="14"/>
  <c r="H155" i="14"/>
  <c r="G157" i="14"/>
  <c r="H157" i="14"/>
  <c r="F184" i="14"/>
  <c r="E21" i="5" s="1"/>
  <c r="F195" i="14"/>
  <c r="F197" i="14"/>
  <c r="F201" i="14"/>
  <c r="E22" i="5" s="1"/>
  <c r="E17" i="5"/>
  <c r="H10" i="14"/>
  <c r="F6" i="14"/>
  <c r="E6" i="14"/>
  <c r="D6" i="14"/>
  <c r="C6" i="14"/>
  <c r="B6" i="14"/>
  <c r="B84" i="14" s="1"/>
  <c r="H4" i="14"/>
  <c r="B4" i="14"/>
  <c r="B82" i="14" s="1"/>
  <c r="D2" i="14"/>
  <c r="C137" i="1"/>
  <c r="F137" i="1" s="1"/>
  <c r="C134" i="1"/>
  <c r="C131" i="1"/>
  <c r="C127" i="1"/>
  <c r="C124" i="1"/>
  <c r="D136" i="14" l="1"/>
  <c r="D133" i="14"/>
  <c r="D130" i="14"/>
  <c r="D126" i="14"/>
  <c r="D123" i="14"/>
  <c r="D119" i="14"/>
  <c r="D111" i="14"/>
  <c r="D114" i="14"/>
  <c r="A19" i="14"/>
  <c r="B35" i="14"/>
  <c r="H62" i="14"/>
  <c r="A163" i="14"/>
  <c r="A167" i="14"/>
  <c r="A165" i="14"/>
  <c r="A21" i="14"/>
  <c r="H60" i="14"/>
  <c r="C124" i="14"/>
  <c r="A136" i="14"/>
  <c r="A137" i="14"/>
  <c r="B137" i="14"/>
  <c r="C137" i="14"/>
  <c r="F137" i="14" s="1"/>
  <c r="D90" i="14"/>
  <c r="C112" i="14"/>
  <c r="C131" i="14"/>
  <c r="C91" i="14"/>
  <c r="C120" i="14"/>
  <c r="C127" i="14"/>
  <c r="D101" i="14"/>
  <c r="C115" i="14"/>
  <c r="C134" i="14"/>
  <c r="C102" i="14"/>
  <c r="B121" i="14"/>
  <c r="A121" i="14"/>
  <c r="A119" i="14"/>
  <c r="A122" i="14"/>
  <c r="A120" i="14"/>
  <c r="B122" i="14"/>
  <c r="B120" i="14"/>
  <c r="A97" i="14"/>
  <c r="A98" i="14"/>
  <c r="B97" i="14"/>
  <c r="B98" i="14"/>
  <c r="B76" i="14"/>
  <c r="A35" i="14"/>
  <c r="B37" i="14"/>
  <c r="B33" i="14"/>
  <c r="A37" i="14"/>
  <c r="A33" i="14"/>
  <c r="G32" i="14"/>
  <c r="D32" i="14"/>
  <c r="H52" i="14"/>
  <c r="E19" i="5" s="1"/>
  <c r="D44" i="14"/>
  <c r="A45" i="14"/>
  <c r="G44" i="14"/>
  <c r="B45" i="14"/>
  <c r="B157" i="14"/>
  <c r="A17" i="14"/>
  <c r="H86" i="14"/>
  <c r="B21" i="14"/>
  <c r="B62" i="14"/>
  <c r="B17" i="14"/>
  <c r="A23" i="14"/>
  <c r="B23" i="14"/>
  <c r="B155" i="14"/>
  <c r="D59" i="14"/>
  <c r="D14" i="14"/>
  <c r="G14" i="14"/>
  <c r="B19" i="14"/>
  <c r="A25" i="14"/>
  <c r="A15" i="14"/>
  <c r="B25" i="14"/>
  <c r="H159" i="14"/>
  <c r="B15" i="14"/>
  <c r="C115" i="1"/>
  <c r="C112" i="1"/>
  <c r="C91" i="1"/>
  <c r="G37" i="1"/>
  <c r="H37" i="1" s="1"/>
  <c r="B37" i="1"/>
  <c r="A37" i="1"/>
  <c r="H65" i="14" l="1"/>
  <c r="E20" i="5" s="1"/>
  <c r="F104" i="14"/>
  <c r="F103" i="14"/>
  <c r="F107" i="14"/>
  <c r="F110" i="14"/>
  <c r="F102" i="14"/>
  <c r="F106" i="14"/>
  <c r="F105" i="14"/>
  <c r="F109" i="14"/>
  <c r="F108" i="14"/>
  <c r="F122" i="14"/>
  <c r="F121" i="14"/>
  <c r="F120" i="14"/>
  <c r="F117" i="14"/>
  <c r="F116" i="14"/>
  <c r="F115" i="14"/>
  <c r="F118" i="14"/>
  <c r="F95" i="14"/>
  <c r="F94" i="14"/>
  <c r="F98" i="14"/>
  <c r="F97" i="14"/>
  <c r="F93" i="14"/>
  <c r="F96" i="14"/>
  <c r="F100" i="14"/>
  <c r="F92" i="14"/>
  <c r="F99" i="14"/>
  <c r="F91" i="14"/>
  <c r="F113" i="14"/>
  <c r="F112" i="14"/>
  <c r="F124" i="14"/>
  <c r="F125" i="14"/>
  <c r="F135" i="14"/>
  <c r="F134" i="14"/>
  <c r="F132" i="14"/>
  <c r="F131" i="14"/>
  <c r="F128" i="14"/>
  <c r="F127" i="14"/>
  <c r="F129" i="14"/>
  <c r="A137" i="1"/>
  <c r="A163" i="1"/>
  <c r="A167" i="1"/>
  <c r="A165" i="1"/>
  <c r="A136" i="1"/>
  <c r="B137" i="1"/>
  <c r="F174" i="14" l="1"/>
  <c r="D153" i="1"/>
  <c r="D80" i="1"/>
  <c r="A119" i="1"/>
  <c r="A122" i="1"/>
  <c r="B122" i="1"/>
  <c r="B121" i="1"/>
  <c r="B120" i="1"/>
  <c r="A121" i="1"/>
  <c r="A120" i="1"/>
  <c r="B98" i="1"/>
  <c r="B97" i="1"/>
  <c r="A98" i="1"/>
  <c r="A97" i="1"/>
  <c r="G45" i="1" l="1"/>
  <c r="H45" i="1" s="1"/>
  <c r="A45" i="1"/>
  <c r="B45" i="1"/>
  <c r="G44" i="1"/>
  <c r="D44" i="1"/>
  <c r="B23" i="1"/>
  <c r="A23" i="1"/>
  <c r="B21" i="1"/>
  <c r="A21" i="1"/>
  <c r="B25" i="1"/>
  <c r="A25" i="1"/>
  <c r="B76" i="1" l="1"/>
  <c r="H62" i="1" l="1"/>
  <c r="H60" i="1"/>
  <c r="B62" i="1"/>
  <c r="A62" i="1"/>
  <c r="B60" i="1"/>
  <c r="A60" i="1"/>
  <c r="B33" i="1"/>
  <c r="A35" i="1"/>
  <c r="A33" i="1"/>
  <c r="B17" i="1" l="1"/>
  <c r="A17" i="1"/>
  <c r="A15" i="1"/>
  <c r="G25" i="1" l="1"/>
  <c r="H25" i="1" s="1"/>
  <c r="F197" i="1" l="1"/>
  <c r="I24" i="5" l="1"/>
  <c r="I26" i="5" s="1"/>
  <c r="H24" i="5"/>
  <c r="G24" i="5"/>
  <c r="F24" i="5"/>
  <c r="J23" i="5"/>
  <c r="J16" i="5"/>
  <c r="J15" i="5"/>
  <c r="H26" i="5"/>
  <c r="D17" i="5"/>
  <c r="I7" i="5"/>
  <c r="G7" i="5"/>
  <c r="F7" i="5"/>
  <c r="E7" i="5"/>
  <c r="D7" i="5"/>
  <c r="C7" i="5"/>
  <c r="I5" i="5"/>
  <c r="C5" i="5"/>
  <c r="F3" i="5"/>
  <c r="G157" i="1"/>
  <c r="G84" i="1"/>
  <c r="G26" i="5" l="1"/>
  <c r="F26" i="5"/>
  <c r="J17" i="5"/>
  <c r="E24" i="5" l="1"/>
  <c r="E26" i="5" s="1"/>
  <c r="F201" i="1"/>
  <c r="D22" i="5" s="1"/>
  <c r="F195" i="1"/>
  <c r="F178" i="1"/>
  <c r="F164" i="1"/>
  <c r="F135" i="1"/>
  <c r="F134" i="1"/>
  <c r="F132" i="1"/>
  <c r="F131" i="1"/>
  <c r="F129" i="1"/>
  <c r="F128" i="1"/>
  <c r="F127" i="1"/>
  <c r="F125" i="1"/>
  <c r="F124" i="1"/>
  <c r="F118" i="1"/>
  <c r="F117" i="1"/>
  <c r="F116" i="1"/>
  <c r="F115" i="1"/>
  <c r="F113" i="1"/>
  <c r="F112" i="1"/>
  <c r="F100" i="1"/>
  <c r="F99" i="1"/>
  <c r="F98" i="1"/>
  <c r="F97" i="1"/>
  <c r="F96" i="1"/>
  <c r="F95" i="1"/>
  <c r="F94" i="1"/>
  <c r="F93" i="1"/>
  <c r="F92" i="1"/>
  <c r="H157" i="1" l="1"/>
  <c r="B157" i="1"/>
  <c r="B155" i="1"/>
  <c r="H159" i="1"/>
  <c r="H155" i="1"/>
  <c r="F169" i="1" l="1"/>
  <c r="F168" i="1"/>
  <c r="F166" i="1" l="1"/>
  <c r="F91" i="1" l="1"/>
  <c r="C120" i="1" l="1"/>
  <c r="C102" i="1"/>
  <c r="D90" i="1"/>
  <c r="H86" i="1"/>
  <c r="H84" i="1"/>
  <c r="B84" i="1"/>
  <c r="B82" i="1"/>
  <c r="H82" i="1"/>
  <c r="F109" i="1" l="1"/>
  <c r="F108" i="1"/>
  <c r="F105" i="1"/>
  <c r="F107" i="1"/>
  <c r="F106" i="1"/>
  <c r="F103" i="1"/>
  <c r="F104" i="1"/>
  <c r="F102" i="1"/>
  <c r="F110" i="1"/>
  <c r="F120" i="1"/>
  <c r="F122" i="1"/>
  <c r="F121" i="1"/>
  <c r="F174" i="1" l="1"/>
  <c r="B19" i="1"/>
  <c r="B15" i="1"/>
  <c r="G14" i="1" l="1"/>
  <c r="G32" i="1"/>
  <c r="F184" i="1" l="1"/>
  <c r="F180" i="1"/>
  <c r="D59" i="1"/>
  <c r="G35" i="1"/>
  <c r="H35" i="1" s="1"/>
  <c r="G33" i="1"/>
  <c r="H33" i="1" s="1"/>
  <c r="G23" i="1"/>
  <c r="H23" i="1" s="1"/>
  <c r="G21" i="1"/>
  <c r="H21" i="1" s="1"/>
  <c r="G19" i="1"/>
  <c r="H19" i="1" s="1"/>
  <c r="G15" i="1"/>
  <c r="H15" i="1" s="1"/>
  <c r="G17" i="1"/>
  <c r="H17" i="1" s="1"/>
  <c r="D32" i="1"/>
  <c r="D14" i="1"/>
  <c r="H52" i="1" l="1"/>
  <c r="J22" i="5"/>
  <c r="D21" i="5"/>
  <c r="J21" i="5" s="1"/>
  <c r="H65" i="1"/>
  <c r="D20" i="5" s="1"/>
  <c r="J20" i="5" s="1"/>
  <c r="H4" i="1" l="1"/>
  <c r="D19" i="5" l="1"/>
  <c r="J19" i="5" l="1"/>
  <c r="J24" i="5" s="1"/>
  <c r="J26" i="5" s="1"/>
  <c r="D24" i="5"/>
  <c r="D26" i="5" s="1"/>
  <c r="F180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Hirsbrunner, Heidi (FHWA)</author>
  </authors>
  <commentList>
    <comment ref="F17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https://highways.dot.gov/federal-lands/business/escalation-factors</t>
        </r>
      </text>
    </comment>
    <comment ref="F18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(1.60-1.10)(BPI)[Sum(Q)(FUF)]</t>
        </r>
      </text>
    </comment>
    <comment ref="F19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https://highways.dot.gov/federal-lands/business/escalation-factors</t>
        </r>
      </text>
    </comment>
    <comment ref="F19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(1.60-1.10)(BPI)(Q)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Hirsbrunner, Heidi (FHWA)</author>
  </authors>
  <commentList>
    <comment ref="F176" authorId="0" shapeId="0" xr:uid="{9A271382-34D6-4E1A-BDA0-6324CF502638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80" authorId="0" shapeId="0" xr:uid="{1E2A4F2A-DECA-4DC0-A1D7-3F7460FAC660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(1.60-1.10)(BPI)[Sum(Q)(FUF)]</t>
        </r>
      </text>
    </comment>
    <comment ref="F193" authorId="0" shapeId="0" xr:uid="{8CAF439D-EFF5-488F-881C-63D103510FB5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97" authorId="0" shapeId="0" xr:uid="{4AAF04E5-BE03-4C6E-A167-146C3F7FD30F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(1.60-1.10)(BPI)(Q)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Hirsbrunner, Heidi (FHWA)</author>
  </authors>
  <commentList>
    <comment ref="F176" authorId="0" shapeId="0" xr:uid="{478EAD44-94CD-4865-87C0-F1834CAFAF30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80" authorId="0" shapeId="0" xr:uid="{1A593EB4-1E7C-4B47-BB9C-AA7B193446E1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(1.60-1.10)(BPI)[Sum(Q)(FUF)]</t>
        </r>
      </text>
    </comment>
    <comment ref="F193" authorId="0" shapeId="0" xr:uid="{2EA5529B-8E88-4FAB-807E-CB08DB69C2C8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97" authorId="0" shapeId="0" xr:uid="{D7C1DAA5-A2ED-4F57-BA6F-152815DD9631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(1.60-1.10)(BPI)(Q)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Hirsbrunner, Heidi (FHWA)</author>
  </authors>
  <commentList>
    <comment ref="F176" authorId="0" shapeId="0" xr:uid="{439DB372-66EE-4FC3-A9AA-B2D0428E4ACF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80" authorId="0" shapeId="0" xr:uid="{FE7FB786-B05F-4D65-A622-FE4561F48FA6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(1.60-1.10)(BPI)[Sum(Q)(FUF)]</t>
        </r>
      </text>
    </comment>
    <comment ref="F193" authorId="0" shapeId="0" xr:uid="{A3BA45CF-7422-4B93-A10D-1F95FC108067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97" authorId="0" shapeId="0" xr:uid="{8B4ABE50-CFBB-48C1-AEA7-35965805802E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(1.60-1.10)(BPI)(Q)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Hirsbrunner, Heidi (FHWA)</author>
  </authors>
  <commentList>
    <comment ref="F176" authorId="0" shapeId="0" xr:uid="{CF25FA2A-171E-4AE3-B72D-3C4925010168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80" authorId="0" shapeId="0" xr:uid="{D211350A-F8B7-4774-AB8A-B150813BCDA1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(1.60-1.10)(BPI)[Sum(Q)(FUF)]</t>
        </r>
      </text>
    </comment>
    <comment ref="F193" authorId="0" shapeId="0" xr:uid="{E56E8575-F95C-4F6E-ADAB-36FB452644BF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97" authorId="0" shapeId="0" xr:uid="{D9661323-CC5B-4185-BC43-FF77E9261ED3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(1.60-1.10)(BPI)(Q)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Hirsbrunner, Heidi (FHWA)</author>
  </authors>
  <commentList>
    <comment ref="F176" authorId="0" shapeId="0" xr:uid="{18FE45C6-8C7B-4643-8D0D-17ABEA338A96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80" authorId="0" shapeId="0" xr:uid="{54AD829B-6B5A-46CC-A855-43D066F446D3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(1.60-1.10)(BPI)[Sum(Q)(FUF)]</t>
        </r>
      </text>
    </comment>
    <comment ref="F193" authorId="0" shapeId="0" xr:uid="{B64A798D-6A93-4F93-8810-65E5CB7A7D5F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https://flh.fhwa.dot.gov/business/construction/escalation/cfl/</t>
        </r>
      </text>
    </comment>
    <comment ref="F197" authorId="0" shapeId="0" xr:uid="{739FAF10-24DC-4DEC-92D9-494BAD7477F0}">
      <text>
        <r>
          <rPr>
            <b/>
            <sz val="9"/>
            <color indexed="81"/>
            <rFont val="Tahoma"/>
            <family val="2"/>
          </rPr>
          <t>Hirsbrunner, Heidi (FHWA):</t>
        </r>
        <r>
          <rPr>
            <sz val="9"/>
            <color indexed="81"/>
            <rFont val="Tahoma"/>
            <family val="2"/>
          </rPr>
          <t xml:space="preserve">
(1.60-1.10)(BPI)(Q)</t>
        </r>
      </text>
    </comment>
  </commentList>
</comments>
</file>

<file path=xl/sharedStrings.xml><?xml version="1.0" encoding="utf-8"?>
<sst xmlns="http://schemas.openxmlformats.org/spreadsheetml/2006/main" count="982" uniqueCount="131">
  <si>
    <t>CFLHD - Materials &amp; Roughness Incentives Adjustments Worksheet</t>
  </si>
  <si>
    <t xml:space="preserve">FP Version:  </t>
  </si>
  <si>
    <t>FP-24</t>
  </si>
  <si>
    <t xml:space="preserve">Project #:  </t>
  </si>
  <si>
    <t>AZ Heidi Test(1)</t>
  </si>
  <si>
    <t xml:space="preserve">Date:  </t>
  </si>
  <si>
    <t xml:space="preserve">Project Name:  </t>
  </si>
  <si>
    <t>Heidi National Park</t>
  </si>
  <si>
    <t xml:space="preserve">Schedule Type: </t>
  </si>
  <si>
    <t>Base</t>
  </si>
  <si>
    <t>Schedule Letter:</t>
  </si>
  <si>
    <t>A</t>
  </si>
  <si>
    <t xml:space="preserve">Units:  </t>
  </si>
  <si>
    <t>US CUSTOMARY</t>
  </si>
  <si>
    <r>
      <t>Materials Incentives (5% Max. Incentive Items)</t>
    </r>
    <r>
      <rPr>
        <vertAlign val="superscript"/>
        <sz val="12"/>
        <color theme="1"/>
        <rFont val="Arial"/>
        <family val="2"/>
      </rPr>
      <t>1</t>
    </r>
  </si>
  <si>
    <t>Item</t>
  </si>
  <si>
    <t>Quantity</t>
  </si>
  <si>
    <t>Section #</t>
  </si>
  <si>
    <t>Section Description</t>
  </si>
  <si>
    <t>Unit Price</t>
  </si>
  <si>
    <t>Incentive Amt</t>
  </si>
  <si>
    <r>
      <t>Materials Incentives (6% Max. Incentive Items)</t>
    </r>
    <r>
      <rPr>
        <vertAlign val="superscript"/>
        <sz val="12"/>
        <color theme="1"/>
        <rFont val="Arial"/>
        <family val="2"/>
      </rPr>
      <t>2</t>
    </r>
  </si>
  <si>
    <r>
      <t>Materials Incentives (1% Max. Incentive Items)</t>
    </r>
    <r>
      <rPr>
        <vertAlign val="superscript"/>
        <sz val="12"/>
        <color theme="1"/>
        <rFont val="Arial"/>
        <family val="2"/>
      </rPr>
      <t>3</t>
    </r>
  </si>
  <si>
    <t xml:space="preserve">TOTAL MATERIALS INCENTIVES:  </t>
  </si>
  <si>
    <r>
      <t>Roughness Incentives</t>
    </r>
    <r>
      <rPr>
        <vertAlign val="superscript"/>
        <sz val="12"/>
        <color theme="1"/>
        <rFont val="Arial"/>
        <family val="2"/>
      </rPr>
      <t>4</t>
    </r>
  </si>
  <si>
    <t>Project</t>
  </si>
  <si>
    <t xml:space="preserve">TOTAL ROUGHNESS INCENTIVES:  </t>
  </si>
  <si>
    <t xml:space="preserve">Note 1: </t>
  </si>
  <si>
    <t>Q_t Unit Price = (Unit Price x 0.05)</t>
  </si>
  <si>
    <t>Incentive Amt = (Quantity x Q_t Unit Price)</t>
  </si>
  <si>
    <t xml:space="preserve">Note 2: </t>
  </si>
  <si>
    <t>Q_t Unit Price = (Unit Price x 0.06)</t>
  </si>
  <si>
    <t xml:space="preserve">Note 3: </t>
  </si>
  <si>
    <t xml:space="preserve">Note 4: </t>
  </si>
  <si>
    <t>CFLHD - Asphalt Cement &amp; Fuel Price Adjustments Worksheet</t>
  </si>
  <si>
    <t>109.06-Pricing Adjustments FUEL</t>
  </si>
  <si>
    <t>Section 204 - Excavation and Embankment</t>
  </si>
  <si>
    <t>FUF</t>
  </si>
  <si>
    <t>Gallons</t>
  </si>
  <si>
    <t>Roadway exacation</t>
  </si>
  <si>
    <t>Subexacation</t>
  </si>
  <si>
    <t>Unclassified borrow</t>
  </si>
  <si>
    <t>Unclassified borrow*</t>
  </si>
  <si>
    <t>Select borrow</t>
  </si>
  <si>
    <t>Select borrow*</t>
  </si>
  <si>
    <t>Embankment construction</t>
  </si>
  <si>
    <t>Rock excavation</t>
  </si>
  <si>
    <t>Section 301 - Untreated Aggregate Courses</t>
  </si>
  <si>
    <t>Aggegate base</t>
  </si>
  <si>
    <t>Aggegate base*</t>
  </si>
  <si>
    <t>Subbase</t>
  </si>
  <si>
    <t>Subbase*</t>
  </si>
  <si>
    <t>Aggregate surface course</t>
  </si>
  <si>
    <t>Aggregate surface course*</t>
  </si>
  <si>
    <t>Section 305 - Full Depth reclamation (FDR) with Cement</t>
  </si>
  <si>
    <t>30501</t>
  </si>
  <si>
    <t>FDR with cement*</t>
  </si>
  <si>
    <t>30502</t>
  </si>
  <si>
    <t>FDR with cement</t>
  </si>
  <si>
    <t>Section 306 - Full Depth Reclamation (FDR) with Asphalt</t>
  </si>
  <si>
    <t>30601</t>
  </si>
  <si>
    <t>FDR with emulsified asphalt*</t>
  </si>
  <si>
    <t>30602</t>
  </si>
  <si>
    <t>FDR with emulsified asphalt</t>
  </si>
  <si>
    <t>30603</t>
  </si>
  <si>
    <t>FDR with foamed asphalt*</t>
  </si>
  <si>
    <t>30604</t>
  </si>
  <si>
    <t>FDR with foamed asphalt</t>
  </si>
  <si>
    <t>Section 310 - Cold In-Place (CIP) Recycled Asphalt Base</t>
  </si>
  <si>
    <t>31001</t>
  </si>
  <si>
    <t>CIP recycled ashalt base*</t>
  </si>
  <si>
    <t>31002</t>
  </si>
  <si>
    <t>CIP recycled ashalt base</t>
  </si>
  <si>
    <t>Section 311 - Stabilized Aggregate Base Course</t>
  </si>
  <si>
    <t>31101</t>
  </si>
  <si>
    <t>Stabilized aggregate surface course*</t>
  </si>
  <si>
    <t>31102</t>
  </si>
  <si>
    <t>31103</t>
  </si>
  <si>
    <t>Stabilized aggregate surface course</t>
  </si>
  <si>
    <t>Section 401 - ACP by Gyratory Mix Design Method</t>
  </si>
  <si>
    <t>40101</t>
  </si>
  <si>
    <t>Asphalt concrete pavement, gyratory mix</t>
  </si>
  <si>
    <t>40102</t>
  </si>
  <si>
    <t>Asphalt concrete pavement, gyratory mix, wedged and leveling</t>
  </si>
  <si>
    <t>Section 402 - ACP by Hveem or Marshall Mix Design Method</t>
  </si>
  <si>
    <t>40201</t>
  </si>
  <si>
    <t>ACP Hveem or Marshall Mix Design Method</t>
  </si>
  <si>
    <t>40202</t>
  </si>
  <si>
    <t>ACP Hveen or Marshall Mix, wedge and leveling</t>
  </si>
  <si>
    <r>
      <t>*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The Government, to agree with the units associated with the applicable Fuel Usage Factor, will convert work quantities, as necessary.</t>
    </r>
  </si>
  <si>
    <t>109.06-Pricing Adjustments FUEL (continued)</t>
  </si>
  <si>
    <t xml:space="preserve">Total Quantity of Work x FUF (see 109.06, Table 1)   = </t>
  </si>
  <si>
    <t>BPI for Low Sulfur, No. 2 Diesel Fuel per Gallon</t>
  </si>
  <si>
    <t>Max MPPI (BPI x 1.6)</t>
  </si>
  <si>
    <t>Maximum Payment to Contractor</t>
  </si>
  <si>
    <t>% of Max. Payment to Contractor (15%-30%)</t>
  </si>
  <si>
    <t>Total Contigency Amount (Fuel)</t>
  </si>
  <si>
    <t>109.06-Pricing Adjustments Asphalt Cement</t>
  </si>
  <si>
    <t>tons of Asphalt Pavement</t>
  </si>
  <si>
    <t>BPI for Asphalt Cement per ton</t>
  </si>
  <si>
    <t>Maximum Payment to Contractor (given 6% AC)</t>
  </si>
  <si>
    <t>Total Contigency Amount (Asphalt Cement)</t>
  </si>
  <si>
    <t>B</t>
  </si>
  <si>
    <t>ACP By Gyratory Mix Design</t>
  </si>
  <si>
    <r>
      <t>*</t>
    </r>
    <r>
      <rPr>
        <b/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The Government, to agree with the units associated with the applicable Fuel Usage Factor, will convert work quantities, as necessary.</t>
    </r>
  </si>
  <si>
    <t>C</t>
  </si>
  <si>
    <t>Option</t>
  </si>
  <si>
    <t>X</t>
  </si>
  <si>
    <t>Y</t>
  </si>
  <si>
    <t>Z</t>
  </si>
  <si>
    <t xml:space="preserve">    CFLHD - Acquisition Incentive Summary</t>
  </si>
  <si>
    <t xml:space="preserve">Units: </t>
  </si>
  <si>
    <t>Summary</t>
  </si>
  <si>
    <t>Sheet1</t>
  </si>
  <si>
    <t>Sheet2</t>
  </si>
  <si>
    <t>Sheet3</t>
  </si>
  <si>
    <t>Sheet4</t>
  </si>
  <si>
    <t>Sheet5</t>
  </si>
  <si>
    <t>Sheet6</t>
  </si>
  <si>
    <t>Schedule Type:</t>
  </si>
  <si>
    <t>Total</t>
  </si>
  <si>
    <t>Bid Amount:</t>
  </si>
  <si>
    <t>Adjustments to Bid Amount (15401 Gov. Lab Trailer)</t>
  </si>
  <si>
    <t>Adjusted Bid Amount:</t>
  </si>
  <si>
    <t>Total Material Incentives:</t>
  </si>
  <si>
    <t>Total Roughness Incentives:</t>
  </si>
  <si>
    <t>Total Fuel Contingency:</t>
  </si>
  <si>
    <t>Total Asphalt Contingency:</t>
  </si>
  <si>
    <t>Partnering/Completion Incentives:</t>
  </si>
  <si>
    <t>Total Contingencies/Incentives:</t>
  </si>
  <si>
    <t>Revised Bid Amounts (PR Amounts):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</si>
</sst>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#,##0.000"/>
    <numFmt numFmtId="166" formatCode="&quot;Rev. &quot;m/d/yyyy"/>
    <numFmt numFmtId="167" formatCode="&quot;$&quot;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color theme="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vertAlign val="superscript"/>
      <sz val="12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u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B05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63377788628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/>
    <xf numFmtId="0" fontId="4" fillId="0" borderId="0"/>
    <xf numFmtId="0" fontId="5" fillId="0" borderId="0"/>
  </cellStyleXfs>
  <cellXfs count="228">
    <xf numFmtId="0" fontId="0" fillId="0" borderId="0" xfId="0"/>
    <xf numFmtId="164" fontId="3" fillId="3" borderId="0" xfId="0" applyNumberFormat="1" applyFont="1" applyFill="1" applyAlignment="1" applyProtection="1">
      <alignment horizontal="left"/>
      <protection locked="0"/>
    </xf>
    <xf numFmtId="164" fontId="3" fillId="3" borderId="0" xfId="0" applyNumberFormat="1" applyFont="1" applyFill="1" applyProtection="1">
      <protection locked="0"/>
    </xf>
    <xf numFmtId="3" fontId="3" fillId="3" borderId="0" xfId="0" applyNumberFormat="1" applyFont="1" applyFill="1" applyAlignment="1" applyProtection="1">
      <alignment horizontal="center"/>
      <protection locked="0"/>
    </xf>
    <xf numFmtId="164" fontId="3" fillId="3" borderId="0" xfId="0" applyNumberFormat="1" applyFont="1" applyFill="1" applyAlignment="1" applyProtection="1">
      <alignment horizontal="center"/>
      <protection locked="0"/>
    </xf>
    <xf numFmtId="165" fontId="3" fillId="3" borderId="0" xfId="0" applyNumberFormat="1" applyFont="1" applyFill="1" applyAlignment="1" applyProtection="1">
      <alignment horizontal="center"/>
      <protection locked="0"/>
    </xf>
    <xf numFmtId="0" fontId="4" fillId="6" borderId="0" xfId="0" applyFont="1" applyFill="1" applyProtection="1"/>
    <xf numFmtId="0" fontId="4" fillId="0" borderId="0" xfId="0" applyFont="1" applyFill="1" applyProtection="1"/>
    <xf numFmtId="3" fontId="4" fillId="0" borderId="0" xfId="0" applyNumberFormat="1" applyFont="1" applyFill="1" applyProtection="1"/>
    <xf numFmtId="164" fontId="4" fillId="0" borderId="0" xfId="0" applyNumberFormat="1" applyFont="1" applyFill="1" applyProtection="1"/>
    <xf numFmtId="3" fontId="8" fillId="0" borderId="0" xfId="0" applyNumberFormat="1" applyFont="1" applyFill="1" applyProtection="1"/>
    <xf numFmtId="0" fontId="4" fillId="0" borderId="0" xfId="0" applyFont="1" applyFill="1" applyAlignment="1" applyProtection="1">
      <alignment horizontal="right"/>
    </xf>
    <xf numFmtId="3" fontId="3" fillId="0" borderId="0" xfId="0" applyNumberFormat="1" applyFont="1" applyFill="1" applyProtection="1"/>
    <xf numFmtId="164" fontId="3" fillId="0" borderId="0" xfId="0" applyNumberFormat="1" applyFont="1" applyFill="1" applyProtection="1"/>
    <xf numFmtId="164" fontId="4" fillId="0" borderId="0" xfId="0" applyNumberFormat="1" applyFont="1" applyFill="1" applyAlignment="1" applyProtection="1">
      <alignment horizontal="right"/>
    </xf>
    <xf numFmtId="14" fontId="4" fillId="0" borderId="0" xfId="0" applyNumberFormat="1" applyFont="1" applyFill="1" applyAlignment="1" applyProtection="1">
      <alignment horizontal="left"/>
    </xf>
    <xf numFmtId="164" fontId="3" fillId="0" borderId="0" xfId="0" applyNumberFormat="1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3" fontId="3" fillId="0" borderId="0" xfId="0" applyNumberFormat="1" applyFont="1" applyFill="1" applyAlignment="1" applyProtection="1">
      <alignment horizontal="center"/>
    </xf>
    <xf numFmtId="164" fontId="4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center"/>
    </xf>
    <xf numFmtId="0" fontId="4" fillId="6" borderId="0" xfId="0" applyFont="1" applyFill="1" applyAlignment="1" applyProtection="1"/>
    <xf numFmtId="0" fontId="4" fillId="0" borderId="3" xfId="0" applyFont="1" applyFill="1" applyBorder="1" applyAlignment="1" applyProtection="1">
      <alignment horizontal="center"/>
    </xf>
    <xf numFmtId="164" fontId="9" fillId="0" borderId="0" xfId="0" applyNumberFormat="1" applyFont="1" applyFill="1" applyAlignment="1" applyProtection="1">
      <alignment horizontal="center"/>
    </xf>
    <xf numFmtId="0" fontId="5" fillId="6" borderId="0" xfId="0" applyFont="1" applyFill="1" applyProtection="1"/>
    <xf numFmtId="0" fontId="5" fillId="0" borderId="0" xfId="0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center"/>
    </xf>
    <xf numFmtId="165" fontId="3" fillId="0" borderId="0" xfId="0" applyNumberFormat="1" applyFont="1" applyFill="1" applyAlignment="1" applyProtection="1">
      <alignment horizontal="center"/>
    </xf>
    <xf numFmtId="164" fontId="9" fillId="0" borderId="0" xfId="2" applyNumberFormat="1" applyFont="1" applyFill="1" applyAlignment="1" applyProtection="1">
      <alignment horizontal="center"/>
    </xf>
    <xf numFmtId="166" fontId="6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 applyProtection="1">
      <alignment horizontal="center"/>
    </xf>
    <xf numFmtId="3" fontId="4" fillId="6" borderId="0" xfId="0" applyNumberFormat="1" applyFont="1" applyFill="1" applyProtection="1"/>
    <xf numFmtId="164" fontId="4" fillId="6" borderId="0" xfId="0" applyNumberFormat="1" applyFont="1" applyFill="1" applyProtection="1"/>
    <xf numFmtId="0" fontId="11" fillId="0" borderId="0" xfId="0" applyFont="1" applyFill="1" applyAlignment="1" applyProtection="1">
      <alignment horizontal="right"/>
    </xf>
    <xf numFmtId="0" fontId="11" fillId="0" borderId="0" xfId="0" applyFont="1" applyFill="1" applyProtection="1"/>
    <xf numFmtId="0" fontId="3" fillId="7" borderId="0" xfId="0" applyFont="1" applyFill="1" applyBorder="1" applyAlignment="1" applyProtection="1">
      <alignment horizontal="left"/>
      <protection locked="0"/>
    </xf>
    <xf numFmtId="3" fontId="3" fillId="7" borderId="0" xfId="0" applyNumberFormat="1" applyFont="1" applyFill="1" applyProtection="1">
      <protection locked="0"/>
    </xf>
    <xf numFmtId="0" fontId="4" fillId="0" borderId="0" xfId="0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3" fontId="4" fillId="0" borderId="0" xfId="0" applyNumberFormat="1" applyFont="1" applyFill="1" applyBorder="1" applyProtection="1"/>
    <xf numFmtId="164" fontId="4" fillId="0" borderId="0" xfId="0" applyNumberFormat="1" applyFont="1" applyFill="1" applyBorder="1" applyProtection="1"/>
    <xf numFmtId="0" fontId="5" fillId="0" borderId="0" xfId="0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center"/>
    </xf>
    <xf numFmtId="166" fontId="6" fillId="0" borderId="0" xfId="2" applyNumberFormat="1" applyFont="1" applyFill="1" applyBorder="1" applyAlignment="1" applyProtection="1">
      <alignment horizontal="center"/>
    </xf>
    <xf numFmtId="0" fontId="6" fillId="0" borderId="0" xfId="2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Protection="1"/>
    <xf numFmtId="0" fontId="3" fillId="5" borderId="4" xfId="0" applyFont="1" applyFill="1" applyBorder="1" applyAlignment="1" applyProtection="1">
      <alignment horizontal="left"/>
    </xf>
    <xf numFmtId="0" fontId="4" fillId="5" borderId="5" xfId="0" applyFont="1" applyFill="1" applyBorder="1" applyAlignment="1" applyProtection="1">
      <alignment horizontal="left"/>
    </xf>
    <xf numFmtId="0" fontId="4" fillId="5" borderId="5" xfId="0" applyFont="1" applyFill="1" applyBorder="1" applyAlignment="1" applyProtection="1">
      <alignment horizontal="center"/>
    </xf>
    <xf numFmtId="164" fontId="4" fillId="5" borderId="5" xfId="0" applyNumberFormat="1" applyFont="1" applyFill="1" applyBorder="1" applyAlignment="1" applyProtection="1">
      <alignment horizontal="center"/>
    </xf>
    <xf numFmtId="3" fontId="4" fillId="5" borderId="5" xfId="0" applyNumberFormat="1" applyFont="1" applyFill="1" applyBorder="1" applyAlignment="1" applyProtection="1">
      <alignment horizontal="center"/>
    </xf>
    <xf numFmtId="164" fontId="4" fillId="5" borderId="6" xfId="0" applyNumberFormat="1" applyFont="1" applyFill="1" applyBorder="1" applyAlignment="1" applyProtection="1">
      <alignment horizontal="center"/>
    </xf>
    <xf numFmtId="0" fontId="16" fillId="5" borderId="4" xfId="0" applyFont="1" applyFill="1" applyBorder="1" applyAlignment="1" applyProtection="1">
      <alignment horizontal="left"/>
    </xf>
    <xf numFmtId="0" fontId="13" fillId="5" borderId="5" xfId="0" applyFont="1" applyFill="1" applyBorder="1" applyAlignment="1" applyProtection="1">
      <alignment horizontal="left"/>
    </xf>
    <xf numFmtId="3" fontId="3" fillId="5" borderId="5" xfId="0" applyNumberFormat="1" applyFont="1" applyFill="1" applyBorder="1" applyAlignment="1" applyProtection="1">
      <alignment horizontal="center"/>
    </xf>
    <xf numFmtId="0" fontId="11" fillId="5" borderId="5" xfId="0" applyFont="1" applyFill="1" applyBorder="1" applyAlignment="1" applyProtection="1">
      <alignment horizontal="left"/>
    </xf>
    <xf numFmtId="4" fontId="4" fillId="5" borderId="6" xfId="0" applyNumberFormat="1" applyFont="1" applyFill="1" applyBorder="1" applyAlignment="1" applyProtection="1">
      <alignment horizontal="center"/>
    </xf>
    <xf numFmtId="0" fontId="17" fillId="5" borderId="4" xfId="0" applyFont="1" applyFill="1" applyBorder="1" applyAlignment="1" applyProtection="1">
      <alignment horizontal="left"/>
    </xf>
    <xf numFmtId="0" fontId="5" fillId="5" borderId="5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left"/>
    </xf>
    <xf numFmtId="3" fontId="18" fillId="5" borderId="5" xfId="0" applyNumberFormat="1" applyFont="1" applyFill="1" applyBorder="1" applyAlignment="1" applyProtection="1">
      <alignment horizontal="center"/>
    </xf>
    <xf numFmtId="3" fontId="18" fillId="0" borderId="0" xfId="0" applyNumberFormat="1" applyFont="1" applyFill="1" applyAlignment="1" applyProtection="1">
      <alignment horizontal="center"/>
    </xf>
    <xf numFmtId="164" fontId="8" fillId="0" borderId="0" xfId="0" applyNumberFormat="1" applyFont="1" applyFill="1" applyAlignment="1" applyProtection="1">
      <alignment horizontal="left"/>
    </xf>
    <xf numFmtId="3" fontId="9" fillId="3" borderId="0" xfId="0" applyNumberFormat="1" applyFont="1" applyFill="1" applyBorder="1" applyAlignment="1" applyProtection="1">
      <alignment horizontal="center"/>
      <protection locked="0"/>
    </xf>
    <xf numFmtId="4" fontId="5" fillId="5" borderId="6" xfId="0" applyNumberFormat="1" applyFont="1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/>
    </xf>
    <xf numFmtId="164" fontId="5" fillId="5" borderId="5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Alignment="1" applyProtection="1">
      <alignment horizont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left" wrapText="1"/>
    </xf>
    <xf numFmtId="0" fontId="5" fillId="5" borderId="5" xfId="0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center" vertical="center"/>
    </xf>
    <xf numFmtId="3" fontId="18" fillId="5" borderId="5" xfId="0" applyNumberFormat="1" applyFont="1" applyFill="1" applyBorder="1" applyAlignment="1" applyProtection="1">
      <alignment horizontal="center" vertical="center"/>
    </xf>
    <xf numFmtId="4" fontId="5" fillId="5" borderId="6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/>
    </xf>
    <xf numFmtId="0" fontId="11" fillId="0" borderId="5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3" fontId="3" fillId="3" borderId="5" xfId="0" applyNumberFormat="1" applyFont="1" applyFill="1" applyBorder="1" applyAlignment="1" applyProtection="1">
      <alignment horizontal="center"/>
      <protection locked="0"/>
    </xf>
    <xf numFmtId="3" fontId="3" fillId="0" borderId="5" xfId="0" applyNumberFormat="1" applyFont="1" applyFill="1" applyBorder="1" applyAlignment="1" applyProtection="1">
      <alignment horizontal="center"/>
    </xf>
    <xf numFmtId="0" fontId="11" fillId="0" borderId="5" xfId="0" applyFont="1" applyFill="1" applyBorder="1" applyAlignment="1" applyProtection="1">
      <alignment horizontal="left" wrapText="1"/>
    </xf>
    <xf numFmtId="0" fontId="15" fillId="0" borderId="5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left" vertical="center" wrapText="1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/>
    </xf>
    <xf numFmtId="3" fontId="9" fillId="3" borderId="5" xfId="0" applyNumberFormat="1" applyFont="1" applyFill="1" applyBorder="1" applyAlignment="1" applyProtection="1">
      <alignment horizontal="center"/>
      <protection locked="0"/>
    </xf>
    <xf numFmtId="3" fontId="18" fillId="0" borderId="5" xfId="0" applyNumberFormat="1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left" wrapText="1"/>
    </xf>
    <xf numFmtId="3" fontId="9" fillId="3" borderId="5" xfId="0" applyNumberFormat="1" applyFont="1" applyFill="1" applyBorder="1" applyAlignment="1" applyProtection="1">
      <alignment horizontal="center" vertical="center"/>
      <protection locked="0"/>
    </xf>
    <xf numFmtId="3" fontId="18" fillId="0" borderId="5" xfId="0" applyNumberFormat="1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left" wrapText="1"/>
    </xf>
    <xf numFmtId="3" fontId="18" fillId="0" borderId="7" xfId="0" applyNumberFormat="1" applyFont="1" applyFill="1" applyBorder="1" applyAlignment="1" applyProtection="1">
      <alignment horizontal="center" vertical="center"/>
    </xf>
    <xf numFmtId="3" fontId="18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3" fontId="4" fillId="0" borderId="5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3" fontId="4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167" fontId="20" fillId="0" borderId="0" xfId="0" applyNumberFormat="1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right" vertical="center"/>
    </xf>
    <xf numFmtId="3" fontId="4" fillId="0" borderId="9" xfId="0" applyNumberFormat="1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left"/>
    </xf>
    <xf numFmtId="164" fontId="4" fillId="0" borderId="11" xfId="0" applyNumberFormat="1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right"/>
    </xf>
    <xf numFmtId="0" fontId="4" fillId="0" borderId="10" xfId="0" applyFont="1" applyFill="1" applyBorder="1" applyProtection="1"/>
    <xf numFmtId="4" fontId="4" fillId="0" borderId="11" xfId="0" applyNumberFormat="1" applyFont="1" applyFill="1" applyBorder="1" applyAlignment="1" applyProtection="1">
      <alignment horizontal="center"/>
    </xf>
    <xf numFmtId="167" fontId="4" fillId="0" borderId="11" xfId="0" applyNumberFormat="1" applyFont="1" applyFill="1" applyBorder="1" applyAlignment="1" applyProtection="1">
      <alignment horizontal="center"/>
    </xf>
    <xf numFmtId="0" fontId="4" fillId="0" borderId="4" xfId="0" applyFont="1" applyFill="1" applyBorder="1" applyProtection="1"/>
    <xf numFmtId="0" fontId="4" fillId="0" borderId="5" xfId="0" applyFont="1" applyFill="1" applyBorder="1" applyProtection="1"/>
    <xf numFmtId="3" fontId="3" fillId="0" borderId="5" xfId="0" applyNumberFormat="1" applyFont="1" applyFill="1" applyBorder="1" applyAlignment="1" applyProtection="1">
      <alignment horizontal="right"/>
    </xf>
    <xf numFmtId="3" fontId="4" fillId="0" borderId="5" xfId="0" applyNumberFormat="1" applyFont="1" applyFill="1" applyBorder="1" applyProtection="1"/>
    <xf numFmtId="167" fontId="20" fillId="0" borderId="6" xfId="0" applyNumberFormat="1" applyFont="1" applyFill="1" applyBorder="1" applyAlignment="1" applyProtection="1">
      <alignment horizontal="center"/>
    </xf>
    <xf numFmtId="0" fontId="3" fillId="8" borderId="12" xfId="0" applyFont="1" applyFill="1" applyBorder="1" applyAlignment="1" applyProtection="1">
      <alignment horizontal="centerContinuous" vertical="center"/>
    </xf>
    <xf numFmtId="0" fontId="4" fillId="8" borderId="2" xfId="0" applyFont="1" applyFill="1" applyBorder="1" applyAlignment="1" applyProtection="1">
      <alignment horizontal="centerContinuous" vertical="center"/>
    </xf>
    <xf numFmtId="0" fontId="4" fillId="8" borderId="13" xfId="0" applyFont="1" applyFill="1" applyBorder="1" applyAlignment="1" applyProtection="1">
      <alignment horizontal="centerContinuous" vertical="center"/>
    </xf>
    <xf numFmtId="0" fontId="3" fillId="10" borderId="12" xfId="0" applyFont="1" applyFill="1" applyBorder="1" applyAlignment="1" applyProtection="1">
      <alignment horizontal="centerContinuous"/>
    </xf>
    <xf numFmtId="0" fontId="4" fillId="10" borderId="2" xfId="0" applyFont="1" applyFill="1" applyBorder="1" applyAlignment="1" applyProtection="1">
      <alignment horizontal="centerContinuous"/>
    </xf>
    <xf numFmtId="0" fontId="4" fillId="10" borderId="13" xfId="0" applyFont="1" applyFill="1" applyBorder="1" applyAlignment="1" applyProtection="1">
      <alignment horizontal="centerContinuous"/>
    </xf>
    <xf numFmtId="0" fontId="14" fillId="0" borderId="5" xfId="3" applyFont="1" applyFill="1" applyBorder="1" applyAlignment="1" applyProtection="1">
      <alignment horizontal="center" vertical="center"/>
    </xf>
    <xf numFmtId="0" fontId="13" fillId="0" borderId="5" xfId="3" applyFont="1" applyFill="1" applyBorder="1" applyAlignment="1" applyProtection="1">
      <alignment horizontal="left" vertical="center"/>
    </xf>
    <xf numFmtId="3" fontId="5" fillId="0" borderId="5" xfId="0" applyNumberFormat="1" applyFont="1" applyFill="1" applyBorder="1" applyAlignment="1" applyProtection="1">
      <alignment horizontal="center"/>
    </xf>
    <xf numFmtId="0" fontId="19" fillId="0" borderId="7" xfId="0" applyFont="1" applyFill="1" applyBorder="1" applyAlignment="1" applyProtection="1"/>
    <xf numFmtId="164" fontId="5" fillId="0" borderId="7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/>
    <xf numFmtId="164" fontId="5" fillId="0" borderId="0" xfId="0" applyNumberFormat="1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</xf>
    <xf numFmtId="3" fontId="5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Alignment="1" applyProtection="1">
      <alignment horizontal="center"/>
      <protection locked="0"/>
    </xf>
    <xf numFmtId="164" fontId="3" fillId="0" borderId="0" xfId="0" applyNumberFormat="1" applyFont="1" applyFill="1" applyAlignment="1" applyProtection="1">
      <alignment horizontal="center"/>
      <protection locked="0"/>
    </xf>
    <xf numFmtId="165" fontId="3" fillId="0" borderId="0" xfId="0" applyNumberFormat="1" applyFont="1" applyFill="1" applyAlignment="1" applyProtection="1">
      <alignment horizontal="center"/>
      <protection locked="0"/>
    </xf>
    <xf numFmtId="3" fontId="9" fillId="0" borderId="7" xfId="0" applyNumberFormat="1" applyFont="1" applyFill="1" applyBorder="1" applyAlignment="1" applyProtection="1">
      <alignment horizontal="center" vertical="center"/>
      <protection locked="0"/>
    </xf>
    <xf numFmtId="3" fontId="9" fillId="0" borderId="0" xfId="0" applyNumberFormat="1" applyFont="1" applyFill="1" applyBorder="1" applyAlignment="1" applyProtection="1">
      <alignment horizontal="center" vertical="center"/>
      <protection locked="0"/>
    </xf>
    <xf numFmtId="4" fontId="4" fillId="9" borderId="11" xfId="0" applyNumberFormat="1" applyFont="1" applyFill="1" applyBorder="1" applyAlignment="1" applyProtection="1">
      <alignment horizontal="center"/>
      <protection locked="0"/>
    </xf>
    <xf numFmtId="1" fontId="4" fillId="9" borderId="11" xfId="0" applyNumberFormat="1" applyFont="1" applyFill="1" applyBorder="1" applyAlignment="1" applyProtection="1">
      <alignment horizontal="center"/>
      <protection locked="0"/>
    </xf>
    <xf numFmtId="3" fontId="4" fillId="9" borderId="9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vertical="center"/>
    </xf>
    <xf numFmtId="3" fontId="0" fillId="0" borderId="0" xfId="0" applyNumberFormat="1" applyFill="1" applyAlignment="1" applyProtection="1">
      <alignment horizontal="right" vertical="center"/>
      <protection locked="0"/>
    </xf>
    <xf numFmtId="0" fontId="0" fillId="0" borderId="0" xfId="0" applyFill="1"/>
    <xf numFmtId="0" fontId="5" fillId="0" borderId="0" xfId="3" applyFont="1" applyFill="1" applyBorder="1" applyAlignment="1">
      <alignment horizontal="left"/>
    </xf>
    <xf numFmtId="0" fontId="5" fillId="0" borderId="0" xfId="3" applyFont="1" applyFill="1" applyAlignment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24" fillId="0" borderId="0" xfId="0" applyFont="1" applyFill="1" applyBorder="1" applyAlignment="1" applyProtection="1">
      <alignment horizontal="center" vertical="center"/>
    </xf>
    <xf numFmtId="3" fontId="0" fillId="0" borderId="0" xfId="0" applyNumberFormat="1" applyAlignment="1" applyProtection="1">
      <alignment horizontal="left" vertical="center"/>
    </xf>
    <xf numFmtId="0" fontId="9" fillId="0" borderId="14" xfId="3" applyFont="1" applyFill="1" applyBorder="1" applyAlignment="1">
      <alignment horizontal="left"/>
    </xf>
    <xf numFmtId="0" fontId="0" fillId="0" borderId="14" xfId="0" applyBorder="1"/>
    <xf numFmtId="164" fontId="4" fillId="3" borderId="14" xfId="0" applyNumberFormat="1" applyFont="1" applyFill="1" applyBorder="1" applyAlignment="1" applyProtection="1">
      <alignment horizontal="right"/>
      <protection locked="0"/>
    </xf>
    <xf numFmtId="164" fontId="4" fillId="0" borderId="14" xfId="0" applyNumberFormat="1" applyFont="1" applyBorder="1" applyAlignment="1">
      <alignment horizontal="right"/>
    </xf>
    <xf numFmtId="0" fontId="5" fillId="0" borderId="14" xfId="3" applyFont="1" applyFill="1" applyBorder="1" applyAlignment="1">
      <alignment horizontal="left"/>
    </xf>
    <xf numFmtId="0" fontId="5" fillId="0" borderId="15" xfId="3" applyFont="1" applyFill="1" applyBorder="1" applyAlignment="1">
      <alignment horizontal="left"/>
    </xf>
    <xf numFmtId="0" fontId="0" fillId="0" borderId="15" xfId="0" applyBorder="1"/>
    <xf numFmtId="164" fontId="4" fillId="0" borderId="15" xfId="0" applyNumberFormat="1" applyFont="1" applyBorder="1" applyAlignment="1">
      <alignment horizontal="right"/>
    </xf>
    <xf numFmtId="0" fontId="23" fillId="0" borderId="12" xfId="3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164" fontId="3" fillId="0" borderId="2" xfId="0" applyNumberFormat="1" applyFont="1" applyBorder="1" applyAlignment="1">
      <alignment horizontal="right" vertical="center"/>
    </xf>
    <xf numFmtId="0" fontId="5" fillId="0" borderId="16" xfId="3" applyFont="1" applyFill="1" applyBorder="1" applyAlignment="1">
      <alignment horizontal="left"/>
    </xf>
    <xf numFmtId="0" fontId="0" fillId="0" borderId="16" xfId="0" applyBorder="1"/>
    <xf numFmtId="164" fontId="4" fillId="3" borderId="16" xfId="0" applyNumberFormat="1" applyFont="1" applyFill="1" applyBorder="1" applyAlignment="1" applyProtection="1">
      <alignment horizontal="right"/>
      <protection locked="0"/>
    </xf>
    <xf numFmtId="164" fontId="4" fillId="0" borderId="16" xfId="0" applyNumberFormat="1" applyFont="1" applyBorder="1" applyAlignment="1">
      <alignment horizontal="right"/>
    </xf>
    <xf numFmtId="0" fontId="9" fillId="0" borderId="7" xfId="3" applyFont="1" applyFill="1" applyBorder="1" applyAlignment="1">
      <alignment horizontal="left"/>
    </xf>
    <xf numFmtId="0" fontId="0" fillId="0" borderId="7" xfId="0" applyBorder="1"/>
    <xf numFmtId="164" fontId="4" fillId="0" borderId="7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 vertical="center"/>
    </xf>
    <xf numFmtId="0" fontId="14" fillId="0" borderId="16" xfId="3" applyFont="1" applyFill="1" applyBorder="1" applyAlignment="1">
      <alignment horizontal="left"/>
    </xf>
    <xf numFmtId="0" fontId="25" fillId="0" borderId="0" xfId="0" applyFont="1"/>
    <xf numFmtId="0" fontId="27" fillId="0" borderId="0" xfId="0" applyFont="1" applyAlignment="1">
      <alignment vertical="center"/>
    </xf>
    <xf numFmtId="0" fontId="13" fillId="0" borderId="0" xfId="0" applyFont="1" applyFill="1" applyAlignment="1" applyProtection="1">
      <alignment horizontal="right"/>
    </xf>
    <xf numFmtId="0" fontId="13" fillId="0" borderId="0" xfId="0" applyFont="1" applyFill="1" applyProtection="1"/>
    <xf numFmtId="0" fontId="13" fillId="0" borderId="5" xfId="0" applyFont="1" applyFill="1" applyBorder="1" applyAlignment="1" applyProtection="1">
      <alignment horizontal="left" vertical="center" wrapText="1"/>
    </xf>
    <xf numFmtId="3" fontId="18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164" fontId="30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164" fontId="8" fillId="0" borderId="0" xfId="0" applyNumberFormat="1" applyFont="1" applyFill="1" applyAlignment="1" applyProtection="1">
      <alignment horizontal="right"/>
      <protection locked="0"/>
    </xf>
    <xf numFmtId="164" fontId="3" fillId="0" borderId="0" xfId="0" applyNumberFormat="1" applyFont="1" applyFill="1" applyAlignment="1" applyProtection="1">
      <alignment horizontal="left"/>
      <protection locked="0"/>
    </xf>
    <xf numFmtId="164" fontId="3" fillId="7" borderId="0" xfId="0" applyNumberFormat="1" applyFont="1" applyFill="1" applyAlignment="1" applyProtection="1">
      <alignment horizontal="left"/>
      <protection locked="0"/>
    </xf>
    <xf numFmtId="164" fontId="5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/>
    </xf>
    <xf numFmtId="164" fontId="3" fillId="3" borderId="0" xfId="0" applyNumberFormat="1" applyFont="1" applyFill="1" applyAlignment="1" applyProtection="1">
      <alignment horizontal="left"/>
    </xf>
    <xf numFmtId="3" fontId="12" fillId="0" borderId="0" xfId="0" applyNumberFormat="1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3" fillId="3" borderId="0" xfId="0" applyFont="1" applyFill="1" applyBorder="1" applyAlignment="1" applyProtection="1">
      <alignment horizontal="left"/>
      <protection locked="0"/>
    </xf>
    <xf numFmtId="0" fontId="2" fillId="5" borderId="2" xfId="0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</xf>
    <xf numFmtId="0" fontId="17" fillId="5" borderId="4" xfId="0" applyFont="1" applyFill="1" applyBorder="1" applyAlignment="1" applyProtection="1">
      <alignment horizontal="left" wrapText="1"/>
    </xf>
    <xf numFmtId="0" fontId="19" fillId="0" borderId="5" xfId="0" applyFont="1" applyBorder="1" applyAlignment="1" applyProtection="1">
      <alignment horizontal="left" wrapText="1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/>
    <xf numFmtId="0" fontId="17" fillId="5" borderId="4" xfId="0" applyFont="1" applyFill="1" applyBorder="1" applyAlignment="1" applyProtection="1">
      <alignment horizontal="left" vertical="center" wrapText="1"/>
    </xf>
    <xf numFmtId="0" fontId="19" fillId="0" borderId="5" xfId="0" applyFont="1" applyBorder="1" applyAlignment="1" applyProtection="1">
      <alignment horizontal="left" vertical="center" wrapText="1"/>
    </xf>
    <xf numFmtId="0" fontId="17" fillId="5" borderId="5" xfId="0" applyFont="1" applyFill="1" applyBorder="1" applyAlignment="1" applyProtection="1">
      <alignment horizontal="left" vertical="center" wrapText="1"/>
    </xf>
    <xf numFmtId="0" fontId="19" fillId="0" borderId="5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/>
    </xf>
    <xf numFmtId="0" fontId="0" fillId="0" borderId="2" xfId="0" applyBorder="1" applyAlignment="1"/>
  </cellXfs>
  <cellStyles count="4">
    <cellStyle name="Chart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D9D9D9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09"/>
  <sheetViews>
    <sheetView tabSelected="1" zoomScaleNormal="100" workbookViewId="0">
      <selection activeCell="B76" sqref="B76"/>
    </sheetView>
  </sheetViews>
  <sheetFormatPr defaultColWidth="9.140625" defaultRowHeight="12.75" x14ac:dyDescent="0.2"/>
  <cols>
    <col min="1" max="1" width="14.140625" style="6" bestFit="1" customWidth="1"/>
    <col min="2" max="2" width="32.85546875" style="6" customWidth="1"/>
    <col min="3" max="3" width="6.140625" style="6" customWidth="1"/>
    <col min="4" max="4" width="14.140625" style="37" customWidth="1"/>
    <col min="5" max="5" width="1.7109375" style="37" customWidth="1"/>
    <col min="6" max="6" width="12.42578125" style="38" customWidth="1"/>
    <col min="7" max="7" width="14.42578125" style="38" customWidth="1"/>
    <col min="8" max="8" width="16.7109375" style="38" bestFit="1" customWidth="1"/>
    <col min="9" max="16384" width="9.140625" style="6"/>
  </cols>
  <sheetData>
    <row r="1" spans="1:8" ht="18" x14ac:dyDescent="0.25">
      <c r="A1" s="208" t="s">
        <v>0</v>
      </c>
      <c r="B1" s="208"/>
      <c r="C1" s="208"/>
      <c r="D1" s="208"/>
      <c r="E1" s="208"/>
      <c r="F1" s="208"/>
      <c r="G1" s="208"/>
      <c r="H1" s="208"/>
    </row>
    <row r="2" spans="1:8" x14ac:dyDescent="0.2">
      <c r="A2" s="7"/>
      <c r="B2" s="7"/>
      <c r="C2" s="11" t="s">
        <v>1</v>
      </c>
      <c r="D2" s="42" t="s">
        <v>2</v>
      </c>
      <c r="E2" s="8"/>
      <c r="F2" s="9"/>
      <c r="G2" s="9"/>
      <c r="H2" s="9"/>
    </row>
    <row r="3" spans="1:8" x14ac:dyDescent="0.2">
      <c r="A3" s="7"/>
      <c r="B3" s="7"/>
      <c r="C3" s="7"/>
      <c r="D3" s="10"/>
      <c r="E3" s="8"/>
      <c r="F3" s="9"/>
      <c r="G3" s="9"/>
      <c r="H3" s="9"/>
    </row>
    <row r="4" spans="1:8" x14ac:dyDescent="0.2">
      <c r="A4" s="11" t="s">
        <v>3</v>
      </c>
      <c r="B4" s="41" t="s">
        <v>4</v>
      </c>
      <c r="C4" s="41"/>
      <c r="D4" s="12"/>
      <c r="E4" s="12"/>
      <c r="F4" s="13"/>
      <c r="G4" s="14" t="s">
        <v>5</v>
      </c>
      <c r="H4" s="15">
        <f ca="1" xml:space="preserve"> TODAY()</f>
        <v>45532</v>
      </c>
    </row>
    <row r="5" spans="1:8" ht="6" customHeight="1" x14ac:dyDescent="0.2">
      <c r="A5" s="11"/>
      <c r="B5" s="206"/>
      <c r="C5" s="206"/>
      <c r="D5" s="12"/>
      <c r="E5" s="12"/>
      <c r="F5" s="13"/>
      <c r="G5" s="14"/>
      <c r="H5" s="15"/>
    </row>
    <row r="6" spans="1:8" x14ac:dyDescent="0.2">
      <c r="A6" s="11" t="s">
        <v>6</v>
      </c>
      <c r="B6" s="209" t="s">
        <v>7</v>
      </c>
      <c r="C6" s="209"/>
      <c r="D6" s="209"/>
      <c r="E6" s="209"/>
      <c r="F6" s="209"/>
      <c r="G6" s="202" t="s">
        <v>8</v>
      </c>
      <c r="H6" s="1" t="s">
        <v>9</v>
      </c>
    </row>
    <row r="7" spans="1:8" ht="6" customHeight="1" x14ac:dyDescent="0.2">
      <c r="A7" s="11"/>
      <c r="B7" s="198"/>
      <c r="C7" s="198"/>
      <c r="D7" s="198"/>
      <c r="E7" s="198"/>
      <c r="F7" s="198"/>
      <c r="G7" s="199"/>
      <c r="H7" s="200"/>
    </row>
    <row r="8" spans="1:8" x14ac:dyDescent="0.2">
      <c r="A8" s="11"/>
      <c r="B8" s="198"/>
      <c r="C8" s="198"/>
      <c r="D8" s="198"/>
      <c r="E8" s="198"/>
      <c r="F8" s="198"/>
      <c r="G8" s="202" t="s">
        <v>10</v>
      </c>
      <c r="H8" s="201" t="s">
        <v>11</v>
      </c>
    </row>
    <row r="9" spans="1:8" ht="6" customHeight="1" x14ac:dyDescent="0.2">
      <c r="A9" s="11"/>
      <c r="B9" s="206"/>
      <c r="C9" s="206"/>
      <c r="D9" s="206"/>
      <c r="E9" s="206"/>
      <c r="F9" s="206"/>
      <c r="G9" s="14"/>
      <c r="H9" s="16"/>
    </row>
    <row r="10" spans="1:8" x14ac:dyDescent="0.2">
      <c r="A10" s="7"/>
      <c r="B10" s="7"/>
      <c r="C10" s="7"/>
      <c r="D10" s="8"/>
      <c r="E10" s="8"/>
      <c r="F10" s="9"/>
      <c r="G10" s="14" t="s">
        <v>12</v>
      </c>
      <c r="H10" s="2" t="s">
        <v>13</v>
      </c>
    </row>
    <row r="11" spans="1:8" ht="13.5" thickBot="1" x14ac:dyDescent="0.25">
      <c r="A11" s="7"/>
      <c r="B11" s="7"/>
      <c r="C11" s="7"/>
      <c r="D11" s="8"/>
      <c r="E11" s="8"/>
      <c r="F11" s="9"/>
      <c r="G11" s="14"/>
      <c r="H11" s="13"/>
    </row>
    <row r="12" spans="1:8" ht="18.75" thickBot="1" x14ac:dyDescent="0.25">
      <c r="A12" s="207" t="s">
        <v>14</v>
      </c>
      <c r="B12" s="207"/>
      <c r="C12" s="207"/>
      <c r="D12" s="207"/>
      <c r="E12" s="207"/>
      <c r="F12" s="207"/>
      <c r="G12" s="207"/>
      <c r="H12" s="207"/>
    </row>
    <row r="13" spans="1:8" x14ac:dyDescent="0.2">
      <c r="A13" s="17" t="s">
        <v>15</v>
      </c>
      <c r="B13" s="17"/>
      <c r="C13" s="17"/>
      <c r="D13" s="17" t="s">
        <v>16</v>
      </c>
      <c r="E13" s="17"/>
      <c r="F13" s="17"/>
      <c r="G13" s="17"/>
      <c r="H13" s="17"/>
    </row>
    <row r="14" spans="1:8" ht="13.5" thickBot="1" x14ac:dyDescent="0.25">
      <c r="A14" s="18" t="s">
        <v>17</v>
      </c>
      <c r="B14" s="19" t="s">
        <v>18</v>
      </c>
      <c r="C14" s="19"/>
      <c r="D14" s="20" t="str">
        <f>IF(Units="US CUSTOMARY"," (Ton or SY)"," (tonnes or m2)")</f>
        <v xml:space="preserve"> (Ton or SY)</v>
      </c>
      <c r="E14" s="21"/>
      <c r="F14" s="20" t="s">
        <v>19</v>
      </c>
      <c r="G14" s="20" t="str">
        <f>"Q_"&amp;IF(Units="US CUSTOMARY","Ton","t")&amp;" Unit Price"</f>
        <v>Q_Ton Unit Price</v>
      </c>
      <c r="H14" s="20" t="s">
        <v>20</v>
      </c>
    </row>
    <row r="15" spans="1:8" ht="13.5" thickTop="1" x14ac:dyDescent="0.2">
      <c r="A15" s="22" t="str">
        <f>IF(FP="FP-24","301","301")</f>
        <v>301</v>
      </c>
      <c r="B15" s="23" t="str">
        <f>IF(FP="FP-03","Untreated Aggregate Courses","Untreated Aggregate Courses")</f>
        <v>Untreated Aggregate Courses</v>
      </c>
      <c r="C15" s="23"/>
      <c r="D15" s="3"/>
      <c r="E15" s="144"/>
      <c r="F15" s="4"/>
      <c r="G15" s="25" t="str">
        <f>IF(ISNUMBER(F15),ROUND(F15*0.05,2),"-")</f>
        <v>-</v>
      </c>
      <c r="H15" s="25" t="str">
        <f>IF(AND(ISNUMBER(D15),ISNUMBER(F15)),D15*G15,"-")</f>
        <v>-</v>
      </c>
    </row>
    <row r="16" spans="1:8" ht="6" customHeight="1" x14ac:dyDescent="0.2">
      <c r="A16" s="22"/>
      <c r="B16" s="23"/>
      <c r="C16" s="23"/>
      <c r="D16" s="144"/>
      <c r="E16" s="144"/>
      <c r="F16" s="145"/>
      <c r="G16" s="25"/>
      <c r="H16" s="25"/>
    </row>
    <row r="17" spans="1:11" x14ac:dyDescent="0.2">
      <c r="A17" s="22" t="str">
        <f>IF(FP="FP-24","308","309")</f>
        <v>308</v>
      </c>
      <c r="B17" s="23" t="str">
        <f>IF(FP="FP-24","Emulsified Asphalt-Treated Base Course","Emulsified Asphalt-Treated Base Course")</f>
        <v>Emulsified Asphalt-Treated Base Course</v>
      </c>
      <c r="C17" s="23"/>
      <c r="D17" s="3"/>
      <c r="E17" s="144"/>
      <c r="F17" s="4"/>
      <c r="G17" s="25" t="str">
        <f>IF(ISNUMBER(F17),ROUND(F17*0.05,2),"-")</f>
        <v>-</v>
      </c>
      <c r="H17" s="25" t="str">
        <f>IF(AND(ISNUMBER(D17),ISNUMBER(F17)),D17*G17,"-")</f>
        <v>-</v>
      </c>
    </row>
    <row r="18" spans="1:11" ht="6" customHeight="1" x14ac:dyDescent="0.2">
      <c r="A18" s="22"/>
      <c r="B18" s="23"/>
      <c r="C18" s="23"/>
      <c r="D18" s="144"/>
      <c r="E18" s="144"/>
      <c r="F18" s="145"/>
      <c r="G18" s="25"/>
      <c r="H18" s="25"/>
    </row>
    <row r="19" spans="1:11" x14ac:dyDescent="0.2">
      <c r="A19" s="197" t="str">
        <f>IF(FP="FP-24","311","311")</f>
        <v>311</v>
      </c>
      <c r="B19" s="23" t="str">
        <f>IF(FP="FP-03","Aggregate Stabiliation","Stabilized Aggregate Surface Course")</f>
        <v>Stabilized Aggregate Surface Course</v>
      </c>
      <c r="C19" s="23"/>
      <c r="D19" s="3"/>
      <c r="E19" s="144"/>
      <c r="F19" s="4"/>
      <c r="G19" s="25" t="str">
        <f t="shared" ref="G19:G25" si="0">IF(ISNUMBER(F19),ROUND(F19*0.05,2),"-")</f>
        <v>-</v>
      </c>
      <c r="H19" s="25" t="str">
        <f>IF(AND(ISNUMBER(D19),ISNUMBER(F19)),D19*G19,"-")</f>
        <v>-</v>
      </c>
    </row>
    <row r="20" spans="1:11" ht="6" customHeight="1" x14ac:dyDescent="0.2">
      <c r="A20" s="22"/>
      <c r="B20" s="23"/>
      <c r="C20" s="23"/>
      <c r="D20" s="144"/>
      <c r="E20" s="144"/>
      <c r="F20" s="145"/>
      <c r="G20" s="25"/>
      <c r="H20" s="25"/>
    </row>
    <row r="21" spans="1:11" x14ac:dyDescent="0.2">
      <c r="A21" s="22" t="str">
        <f>IF(FP="FP-24","405","405")</f>
        <v>405</v>
      </c>
      <c r="B21" s="23" t="str">
        <f>IF(FP="FP-24","Open-Graded Asphalt Friction Course","Open-Graded Asphalt Friction Course")</f>
        <v>Open-Graded Asphalt Friction Course</v>
      </c>
      <c r="C21" s="23"/>
      <c r="D21" s="3"/>
      <c r="E21" s="144"/>
      <c r="F21" s="4"/>
      <c r="G21" s="25" t="str">
        <f t="shared" si="0"/>
        <v>-</v>
      </c>
      <c r="H21" s="25" t="str">
        <f>IF(AND(ISNUMBER(D21),ISNUMBER(F21)),D21*G21,"-")</f>
        <v>-</v>
      </c>
    </row>
    <row r="22" spans="1:11" ht="6" customHeight="1" x14ac:dyDescent="0.2">
      <c r="A22" s="22"/>
      <c r="B22" s="23"/>
      <c r="C22" s="23"/>
      <c r="D22" s="144"/>
      <c r="E22" s="144"/>
      <c r="F22" s="145"/>
      <c r="G22" s="25"/>
      <c r="H22" s="25"/>
    </row>
    <row r="23" spans="1:11" x14ac:dyDescent="0.2">
      <c r="A23" s="22" t="str">
        <f>IF(FP="FP-24","407","407")</f>
        <v>407</v>
      </c>
      <c r="B23" s="23" t="str">
        <f>IF(FP="FP-24","Chip Seal","Chip Seal")</f>
        <v>Chip Seal</v>
      </c>
      <c r="C23" s="23"/>
      <c r="D23" s="3"/>
      <c r="E23" s="144"/>
      <c r="F23" s="4"/>
      <c r="G23" s="25" t="str">
        <f t="shared" si="0"/>
        <v>-</v>
      </c>
      <c r="H23" s="25" t="str">
        <f>IF(AND(ISNUMBER(D23),ISNUMBER(F23)),D23*G23,"-")</f>
        <v>-</v>
      </c>
    </row>
    <row r="24" spans="1:11" ht="6" customHeight="1" x14ac:dyDescent="0.2">
      <c r="A24" s="22"/>
      <c r="B24" s="23"/>
      <c r="C24" s="23"/>
      <c r="D24" s="144"/>
      <c r="E24" s="144"/>
      <c r="F24" s="145"/>
      <c r="G24" s="25"/>
      <c r="H24" s="25"/>
    </row>
    <row r="25" spans="1:11" x14ac:dyDescent="0.2">
      <c r="A25" s="22" t="str">
        <f>IF(FP="FP-24","-","-")</f>
        <v>-</v>
      </c>
      <c r="B25" s="23" t="str">
        <f>IF(FP="FP-24","                      - ","                      -")</f>
        <v xml:space="preserve">                      - </v>
      </c>
      <c r="C25" s="23"/>
      <c r="D25" s="3"/>
      <c r="E25" s="144"/>
      <c r="F25" s="4"/>
      <c r="G25" s="25" t="str">
        <f t="shared" si="0"/>
        <v>-</v>
      </c>
      <c r="H25" s="25" t="str">
        <f>IF(AND(ISNUMBER(D25),ISNUMBER(F25)),D25*G25,"-")</f>
        <v>-</v>
      </c>
    </row>
    <row r="26" spans="1:11" ht="6" customHeight="1" x14ac:dyDescent="0.2">
      <c r="A26" s="22"/>
      <c r="B26" s="23"/>
      <c r="C26" s="23"/>
      <c r="D26" s="144"/>
      <c r="E26" s="144"/>
      <c r="F26" s="145"/>
      <c r="G26" s="25"/>
      <c r="H26" s="25"/>
    </row>
    <row r="27" spans="1:11" x14ac:dyDescent="0.2">
      <c r="A27" s="22"/>
      <c r="B27" s="23"/>
      <c r="C27" s="23"/>
      <c r="D27" s="144"/>
      <c r="E27" s="144"/>
      <c r="F27" s="145"/>
      <c r="G27" s="25"/>
      <c r="H27" s="25"/>
    </row>
    <row r="28" spans="1:11" ht="6" customHeight="1" x14ac:dyDescent="0.2">
      <c r="A28" s="22"/>
      <c r="B28" s="23"/>
      <c r="C28" s="23"/>
      <c r="D28" s="144"/>
      <c r="E28" s="144"/>
      <c r="F28" s="145"/>
      <c r="G28" s="25"/>
      <c r="H28" s="25"/>
    </row>
    <row r="29" spans="1:11" ht="13.5" thickBot="1" x14ac:dyDescent="0.25">
      <c r="A29" s="22"/>
      <c r="B29" s="23"/>
      <c r="C29" s="23"/>
      <c r="D29" s="144"/>
      <c r="E29" s="144"/>
      <c r="F29" s="145"/>
      <c r="G29" s="25"/>
      <c r="H29" s="25"/>
    </row>
    <row r="30" spans="1:11" ht="18.75" thickBot="1" x14ac:dyDescent="0.25">
      <c r="A30" s="207" t="s">
        <v>21</v>
      </c>
      <c r="B30" s="207"/>
      <c r="C30" s="207"/>
      <c r="D30" s="207"/>
      <c r="E30" s="207"/>
      <c r="F30" s="207"/>
      <c r="G30" s="207"/>
      <c r="H30" s="207"/>
      <c r="K30" s="27"/>
    </row>
    <row r="31" spans="1:11" x14ac:dyDescent="0.2">
      <c r="A31" s="28" t="s">
        <v>15</v>
      </c>
      <c r="B31" s="28"/>
      <c r="C31" s="17"/>
      <c r="D31" s="17" t="s">
        <v>16</v>
      </c>
      <c r="E31" s="28"/>
      <c r="F31" s="28"/>
      <c r="G31" s="28"/>
      <c r="H31" s="28"/>
      <c r="K31" s="27"/>
    </row>
    <row r="32" spans="1:11" ht="13.5" thickBot="1" x14ac:dyDescent="0.25">
      <c r="A32" s="18" t="s">
        <v>17</v>
      </c>
      <c r="B32" s="19" t="s">
        <v>18</v>
      </c>
      <c r="C32" s="19"/>
      <c r="D32" s="20" t="str">
        <f>IF(Units="US CUSTOMARY"," (Ton or SY)"," (tonnes or m2)")</f>
        <v xml:space="preserve"> (Ton or SY)</v>
      </c>
      <c r="E32" s="21"/>
      <c r="F32" s="20" t="s">
        <v>19</v>
      </c>
      <c r="G32" s="20" t="str">
        <f>"Q_"&amp;IF(Units="US CUSTOMARY","Ton","t")&amp;" Unit Price"</f>
        <v>Q_Ton Unit Price</v>
      </c>
      <c r="H32" s="20" t="s">
        <v>20</v>
      </c>
    </row>
    <row r="33" spans="1:8" ht="13.5" thickTop="1" x14ac:dyDescent="0.2">
      <c r="A33" s="22" t="str">
        <f>IF(FP="FP-24","401","401")</f>
        <v>401</v>
      </c>
      <c r="B33" s="23" t="str">
        <f>IF(FP="FP-24","ACP by Gyratory Mix Design","ACP by Gyratory Mix Design")</f>
        <v>ACP by Gyratory Mix Design</v>
      </c>
      <c r="C33" s="23"/>
      <c r="D33" s="3"/>
      <c r="E33" s="144"/>
      <c r="F33" s="4"/>
      <c r="G33" s="25" t="str">
        <f>IF(ISNUMBER(F33),ROUND(F33*0.06,2),"-")</f>
        <v>-</v>
      </c>
      <c r="H33" s="25" t="str">
        <f>IF(AND(ISNUMBER(D33),ISNUMBER(F33)),D33*G33,"-")</f>
        <v>-</v>
      </c>
    </row>
    <row r="34" spans="1:8" ht="6" customHeight="1" x14ac:dyDescent="0.2">
      <c r="A34" s="22"/>
      <c r="B34" s="23"/>
      <c r="C34" s="23"/>
      <c r="D34" s="144"/>
      <c r="E34" s="144"/>
      <c r="F34" s="145"/>
      <c r="G34" s="25"/>
      <c r="H34" s="25"/>
    </row>
    <row r="35" spans="1:8" x14ac:dyDescent="0.2">
      <c r="A35" s="22" t="str">
        <f>IF(FP="FP-24","402","402")</f>
        <v>402</v>
      </c>
      <c r="B35" s="23" t="str">
        <f>IF(FP="FP-24","ACP by Hveem or Marshall Mix Design","ACP by Hveem or Marshall Mix Design")</f>
        <v>ACP by Hveem or Marshall Mix Design</v>
      </c>
      <c r="C35" s="23"/>
      <c r="D35" s="3"/>
      <c r="E35" s="144"/>
      <c r="F35" s="4"/>
      <c r="G35" s="25" t="str">
        <f>IF(ISNUMBER(F35),ROUND(F35*0.06,2),"-")</f>
        <v>-</v>
      </c>
      <c r="H35" s="25" t="str">
        <f>IF(AND(ISNUMBER(D35),ISNUMBER(F35)),D35*G35,"-")</f>
        <v>-</v>
      </c>
    </row>
    <row r="36" spans="1:8" ht="6" customHeight="1" x14ac:dyDescent="0.2">
      <c r="A36" s="22"/>
      <c r="B36" s="23"/>
      <c r="C36" s="23"/>
      <c r="D36" s="144"/>
      <c r="E36" s="144"/>
      <c r="F36" s="145"/>
      <c r="G36" s="25"/>
      <c r="H36" s="25"/>
    </row>
    <row r="37" spans="1:8" x14ac:dyDescent="0.2">
      <c r="A37" s="22" t="str">
        <f>IF(FP="FP-24","-","-")</f>
        <v>-</v>
      </c>
      <c r="B37" s="23" t="str">
        <f>IF(FP="FP-24","                      -","                      -")</f>
        <v xml:space="preserve">                      -</v>
      </c>
      <c r="C37" s="23"/>
      <c r="D37" s="3"/>
      <c r="E37" s="144"/>
      <c r="F37" s="4"/>
      <c r="G37" s="25" t="str">
        <f>IF(ISNUMBER(F37),ROUND(F37*0.06,2),"-")</f>
        <v>-</v>
      </c>
      <c r="H37" s="25" t="str">
        <f>IF(AND(ISNUMBER(D37),ISNUMBER(F37)),D37*G37,"-")</f>
        <v>-</v>
      </c>
    </row>
    <row r="38" spans="1:8" ht="6" customHeight="1" x14ac:dyDescent="0.2">
      <c r="A38" s="22"/>
      <c r="B38" s="23"/>
      <c r="C38" s="23"/>
      <c r="D38" s="144"/>
      <c r="E38" s="144"/>
      <c r="F38" s="145"/>
      <c r="G38" s="25"/>
      <c r="H38" s="25"/>
    </row>
    <row r="39" spans="1:8" x14ac:dyDescent="0.2">
      <c r="A39" s="22"/>
      <c r="B39" s="23"/>
      <c r="C39" s="23"/>
      <c r="D39" s="144"/>
      <c r="E39" s="144"/>
      <c r="F39" s="145"/>
      <c r="G39" s="25"/>
      <c r="H39" s="25"/>
    </row>
    <row r="40" spans="1:8" ht="6" customHeight="1" x14ac:dyDescent="0.2">
      <c r="A40" s="22"/>
      <c r="B40" s="23"/>
      <c r="C40" s="23"/>
      <c r="D40" s="144"/>
      <c r="E40" s="144"/>
      <c r="F40" s="145"/>
      <c r="G40" s="25"/>
      <c r="H40" s="25"/>
    </row>
    <row r="41" spans="1:8" ht="13.5" thickBot="1" x14ac:dyDescent="0.25">
      <c r="A41" s="22"/>
      <c r="B41" s="23"/>
      <c r="C41" s="23"/>
      <c r="D41" s="144"/>
      <c r="E41" s="144"/>
      <c r="F41" s="145"/>
      <c r="G41" s="25"/>
      <c r="H41" s="25"/>
    </row>
    <row r="42" spans="1:8" ht="18.75" thickBot="1" x14ac:dyDescent="0.25">
      <c r="A42" s="207" t="s">
        <v>22</v>
      </c>
      <c r="B42" s="207"/>
      <c r="C42" s="207"/>
      <c r="D42" s="207"/>
      <c r="E42" s="207"/>
      <c r="F42" s="207"/>
      <c r="G42" s="207"/>
      <c r="H42" s="207"/>
    </row>
    <row r="43" spans="1:8" s="30" customFormat="1" x14ac:dyDescent="0.2">
      <c r="A43" s="28" t="s">
        <v>15</v>
      </c>
      <c r="B43" s="28"/>
      <c r="C43" s="17"/>
      <c r="D43" s="17" t="s">
        <v>16</v>
      </c>
      <c r="E43" s="28"/>
      <c r="F43" s="28"/>
      <c r="G43" s="28"/>
      <c r="H43" s="28"/>
    </row>
    <row r="44" spans="1:8" ht="13.5" thickBot="1" x14ac:dyDescent="0.25">
      <c r="A44" s="18" t="s">
        <v>17</v>
      </c>
      <c r="B44" s="19" t="s">
        <v>18</v>
      </c>
      <c r="C44" s="19"/>
      <c r="D44" s="20" t="str">
        <f>IF(Units="US CUSTOMARY"," (Ton or SY)"," (tonnes or m2)")</f>
        <v xml:space="preserve"> (Ton or SY)</v>
      </c>
      <c r="E44" s="21"/>
      <c r="F44" s="20" t="s">
        <v>19</v>
      </c>
      <c r="G44" s="20" t="str">
        <f>"Q_"&amp;IF(Units="US CUSTOMARY","Ton","t")&amp;" Unit Price"</f>
        <v>Q_Ton Unit Price</v>
      </c>
      <c r="H44" s="20" t="s">
        <v>20</v>
      </c>
    </row>
    <row r="45" spans="1:8" ht="13.5" thickTop="1" x14ac:dyDescent="0.2">
      <c r="A45" s="22" t="str">
        <f>IF(FP="FP-24","404"," -")</f>
        <v>404</v>
      </c>
      <c r="B45" s="23" t="str">
        <f>IF(FP="FP-24","Thin Lift Asphalt Concrete Pavement","                      -")</f>
        <v>Thin Lift Asphalt Concrete Pavement</v>
      </c>
      <c r="C45" s="23"/>
      <c r="D45" s="3"/>
      <c r="E45" s="144"/>
      <c r="F45" s="4"/>
      <c r="G45" s="25" t="str">
        <f>IF(ISNUMBER(F45),ROUND(F45*0.01,2),"-")</f>
        <v>-</v>
      </c>
      <c r="H45" s="25" t="str">
        <f>IF(AND(ISNUMBER(D45),ISNUMBER(F45)),D45*G45,"-")</f>
        <v>-</v>
      </c>
    </row>
    <row r="46" spans="1:8" ht="6" customHeight="1" x14ac:dyDescent="0.2">
      <c r="A46" s="22"/>
      <c r="B46" s="23"/>
      <c r="C46" s="23"/>
      <c r="D46" s="144"/>
      <c r="E46" s="144"/>
      <c r="F46" s="145"/>
      <c r="G46" s="25"/>
      <c r="H46" s="25"/>
    </row>
    <row r="47" spans="1:8" ht="13.5" customHeight="1" x14ac:dyDescent="0.2">
      <c r="A47" s="22"/>
      <c r="B47" s="23"/>
      <c r="C47" s="23"/>
      <c r="D47" s="144"/>
      <c r="E47" s="144"/>
      <c r="F47" s="145"/>
      <c r="G47" s="25"/>
      <c r="H47" s="25"/>
    </row>
    <row r="48" spans="1:8" ht="6" customHeight="1" x14ac:dyDescent="0.2">
      <c r="A48" s="22"/>
      <c r="B48" s="23"/>
      <c r="C48" s="23"/>
      <c r="D48" s="144"/>
      <c r="E48" s="144"/>
      <c r="F48" s="145"/>
      <c r="G48" s="25"/>
      <c r="H48" s="25"/>
    </row>
    <row r="49" spans="1:8" x14ac:dyDescent="0.2">
      <c r="A49" s="22"/>
      <c r="B49" s="23"/>
      <c r="C49" s="23"/>
      <c r="D49" s="144"/>
      <c r="E49" s="144"/>
      <c r="F49" s="145"/>
      <c r="G49" s="25"/>
      <c r="H49" s="25"/>
    </row>
    <row r="50" spans="1:8" x14ac:dyDescent="0.2">
      <c r="A50" s="22"/>
      <c r="B50" s="23"/>
      <c r="C50" s="23"/>
      <c r="D50" s="24"/>
      <c r="E50" s="24"/>
      <c r="F50" s="26"/>
      <c r="G50" s="25"/>
      <c r="H50" s="25"/>
    </row>
    <row r="51" spans="1:8" x14ac:dyDescent="0.2">
      <c r="A51" s="7"/>
      <c r="B51" s="7"/>
      <c r="C51" s="7"/>
      <c r="D51" s="8"/>
      <c r="E51" s="8"/>
      <c r="F51" s="9"/>
      <c r="G51" s="9"/>
      <c r="H51" s="9"/>
    </row>
    <row r="52" spans="1:8" x14ac:dyDescent="0.2">
      <c r="A52" s="211" t="s">
        <v>23</v>
      </c>
      <c r="B52" s="211"/>
      <c r="C52" s="211"/>
      <c r="D52" s="211"/>
      <c r="E52" s="211"/>
      <c r="F52" s="211"/>
      <c r="G52" s="211"/>
      <c r="H52" s="29">
        <f>SUM(H15,H17,H19,H21,H23,H25,H33,H35,H37,H45)</f>
        <v>0</v>
      </c>
    </row>
    <row r="53" spans="1:8" x14ac:dyDescent="0.2">
      <c r="A53" s="31"/>
      <c r="B53" s="31"/>
      <c r="C53" s="31"/>
      <c r="D53" s="31"/>
      <c r="E53" s="31"/>
      <c r="F53" s="31"/>
      <c r="G53" s="31"/>
      <c r="H53" s="32"/>
    </row>
    <row r="54" spans="1:8" ht="6" customHeight="1" x14ac:dyDescent="0.2">
      <c r="A54" s="31"/>
      <c r="B54" s="31"/>
      <c r="C54" s="31"/>
      <c r="D54" s="31"/>
      <c r="E54" s="31"/>
      <c r="F54" s="31"/>
      <c r="G54" s="31"/>
      <c r="H54" s="32"/>
    </row>
    <row r="55" spans="1:8" x14ac:dyDescent="0.2">
      <c r="A55" s="31"/>
      <c r="B55" s="31"/>
      <c r="C55" s="31"/>
      <c r="D55" s="31"/>
      <c r="E55" s="31"/>
      <c r="F55" s="31"/>
      <c r="G55" s="31"/>
      <c r="H55" s="32"/>
    </row>
    <row r="56" spans="1:8" ht="13.5" thickBot="1" x14ac:dyDescent="0.25">
      <c r="A56" s="7"/>
      <c r="B56" s="7"/>
      <c r="C56" s="7"/>
      <c r="D56" s="8"/>
      <c r="E56" s="8"/>
      <c r="F56" s="9"/>
      <c r="G56" s="9"/>
      <c r="H56" s="9"/>
    </row>
    <row r="57" spans="1:8" ht="18.75" thickBot="1" x14ac:dyDescent="0.25">
      <c r="A57" s="210" t="s">
        <v>24</v>
      </c>
      <c r="B57" s="210"/>
      <c r="C57" s="210"/>
      <c r="D57" s="210"/>
      <c r="E57" s="210"/>
      <c r="F57" s="210"/>
      <c r="G57" s="210"/>
      <c r="H57" s="210"/>
    </row>
    <row r="58" spans="1:8" x14ac:dyDescent="0.2">
      <c r="A58" s="28" t="s">
        <v>15</v>
      </c>
      <c r="B58" s="28"/>
      <c r="C58" s="28"/>
      <c r="D58" s="28" t="s">
        <v>25</v>
      </c>
      <c r="E58" s="28"/>
      <c r="F58" s="28"/>
      <c r="G58" s="28"/>
      <c r="H58" s="28"/>
    </row>
    <row r="59" spans="1:8" ht="13.5" thickBot="1" x14ac:dyDescent="0.25">
      <c r="A59" s="18" t="s">
        <v>17</v>
      </c>
      <c r="B59" s="19" t="s">
        <v>18</v>
      </c>
      <c r="C59" s="19"/>
      <c r="D59" s="21" t="str">
        <f>"Lane-"&amp;IF(Units="US CUSTOMARY","miles","kilometers")</f>
        <v>Lane-miles</v>
      </c>
      <c r="E59" s="21"/>
      <c r="F59" s="20"/>
      <c r="G59" s="20"/>
      <c r="H59" s="20" t="s">
        <v>20</v>
      </c>
    </row>
    <row r="60" spans="1:8" ht="13.5" thickTop="1" x14ac:dyDescent="0.2">
      <c r="A60" s="22" t="str">
        <f>IF(FP="FP-24","401","401")</f>
        <v>401</v>
      </c>
      <c r="B60" s="7" t="str">
        <f>IF(FP="FP-24","ACP by Gyratory Mix Design","ACP by Gyratory Mix Design")</f>
        <v>ACP by Gyratory Mix Design</v>
      </c>
      <c r="C60" s="7"/>
      <c r="D60" s="5"/>
      <c r="E60" s="33"/>
      <c r="F60" s="25"/>
      <c r="G60" s="25"/>
      <c r="H60" s="196" t="str">
        <f>IF(ISNUMBER(D60),IF(FP="FP-14",(IF(Units="US CUSTOMARY",80000,49600)*(1.05-1)*D60),(IF(FP="FP-24",(IF(Units="Us Customary",100000,62200)*(1.05-1)*D60)))),"-")</f>
        <v>-</v>
      </c>
    </row>
    <row r="61" spans="1:8" x14ac:dyDescent="0.2">
      <c r="A61" s="22"/>
      <c r="B61" s="7"/>
      <c r="C61" s="7"/>
      <c r="D61" s="146"/>
      <c r="E61" s="33"/>
      <c r="F61" s="25"/>
      <c r="G61" s="25"/>
      <c r="H61" s="32"/>
    </row>
    <row r="62" spans="1:8" x14ac:dyDescent="0.2">
      <c r="A62" s="22" t="str">
        <f>IF(FP="FP-24","402","402")</f>
        <v>402</v>
      </c>
      <c r="B62" s="7" t="str">
        <f>IF(FP="FP-24","ACP by Hveem or Marchall Mix Design","ACP by Hveem or Marchall Mix Design")</f>
        <v>ACP by Hveem or Marchall Mix Design</v>
      </c>
      <c r="C62" s="7"/>
      <c r="D62" s="5"/>
      <c r="E62" s="33"/>
      <c r="F62" s="25"/>
      <c r="G62" s="25"/>
      <c r="H62" s="196" t="str">
        <f>IF(ISNUMBER(D62),IF(FP="FP-14",(IF(Units="US CUSTOMARY",80000,49600)*(1.05-1)*D62),(IF(FP="FP-24",(IF(Units="Us Customary",100000,62200)*(1.05-1)*D62)))),"-")</f>
        <v>-</v>
      </c>
    </row>
    <row r="63" spans="1:8" x14ac:dyDescent="0.2">
      <c r="A63" s="22"/>
      <c r="B63" s="7"/>
      <c r="C63" s="7"/>
      <c r="D63" s="33"/>
      <c r="E63" s="33"/>
      <c r="F63" s="25"/>
      <c r="G63" s="25"/>
      <c r="H63" s="25"/>
    </row>
    <row r="64" spans="1:8" x14ac:dyDescent="0.2">
      <c r="A64" s="7"/>
      <c r="B64" s="7"/>
      <c r="C64" s="7"/>
      <c r="D64" s="8"/>
      <c r="E64" s="8"/>
      <c r="F64" s="9"/>
      <c r="G64" s="9"/>
      <c r="H64" s="9"/>
    </row>
    <row r="65" spans="1:8" x14ac:dyDescent="0.2">
      <c r="A65" s="211" t="s">
        <v>26</v>
      </c>
      <c r="B65" s="211"/>
      <c r="C65" s="211"/>
      <c r="D65" s="211"/>
      <c r="E65" s="211"/>
      <c r="F65" s="211"/>
      <c r="G65" s="211"/>
      <c r="H65" s="34">
        <f>SUM(H60,H62)</f>
        <v>0</v>
      </c>
    </row>
    <row r="66" spans="1:8" x14ac:dyDescent="0.2">
      <c r="A66" s="7"/>
      <c r="B66" s="7"/>
      <c r="C66" s="7"/>
      <c r="D66" s="8"/>
      <c r="E66" s="8"/>
      <c r="F66" s="9"/>
      <c r="G66" s="35"/>
      <c r="H66" s="36"/>
    </row>
    <row r="67" spans="1:8" x14ac:dyDescent="0.2">
      <c r="A67" s="39" t="s">
        <v>27</v>
      </c>
      <c r="B67" s="40" t="s">
        <v>28</v>
      </c>
      <c r="C67" s="7"/>
      <c r="D67" s="8"/>
      <c r="E67" s="8"/>
      <c r="F67" s="9"/>
      <c r="G67" s="35"/>
      <c r="H67" s="36"/>
    </row>
    <row r="68" spans="1:8" x14ac:dyDescent="0.2">
      <c r="A68" s="40"/>
      <c r="B68" s="40" t="s">
        <v>29</v>
      </c>
      <c r="C68" s="7"/>
      <c r="D68" s="8"/>
      <c r="E68" s="8"/>
      <c r="F68" s="9"/>
      <c r="G68" s="35"/>
      <c r="H68" s="36"/>
    </row>
    <row r="69" spans="1:8" x14ac:dyDescent="0.2">
      <c r="A69" s="40"/>
      <c r="B69" s="40"/>
      <c r="C69" s="7"/>
      <c r="D69" s="8"/>
      <c r="E69" s="8"/>
      <c r="F69" s="9"/>
      <c r="G69" s="35"/>
      <c r="H69" s="36"/>
    </row>
    <row r="70" spans="1:8" x14ac:dyDescent="0.2">
      <c r="A70" s="39" t="s">
        <v>30</v>
      </c>
      <c r="B70" s="40" t="s">
        <v>31</v>
      </c>
      <c r="C70" s="7"/>
      <c r="D70" s="8"/>
      <c r="E70" s="8"/>
      <c r="F70" s="9"/>
      <c r="G70" s="9"/>
      <c r="H70" s="9"/>
    </row>
    <row r="71" spans="1:8" x14ac:dyDescent="0.2">
      <c r="A71" s="40"/>
      <c r="B71" s="40" t="s">
        <v>29</v>
      </c>
      <c r="C71" s="7"/>
      <c r="D71" s="8"/>
      <c r="E71" s="8"/>
      <c r="F71" s="9"/>
      <c r="G71" s="9"/>
      <c r="H71" s="9"/>
    </row>
    <row r="72" spans="1:8" x14ac:dyDescent="0.2">
      <c r="A72" s="7"/>
      <c r="B72" s="7"/>
      <c r="C72" s="40"/>
      <c r="D72" s="8"/>
      <c r="E72" s="8"/>
      <c r="F72" s="9"/>
      <c r="G72" s="9"/>
      <c r="H72" s="9"/>
    </row>
    <row r="73" spans="1:8" x14ac:dyDescent="0.2">
      <c r="A73" s="39" t="s">
        <v>32</v>
      </c>
      <c r="B73" s="40" t="s">
        <v>31</v>
      </c>
      <c r="C73" s="40"/>
      <c r="D73" s="8"/>
      <c r="E73" s="8"/>
      <c r="F73" s="9"/>
      <c r="G73" s="9"/>
      <c r="H73" s="9"/>
    </row>
    <row r="74" spans="1:8" x14ac:dyDescent="0.2">
      <c r="A74" s="40"/>
      <c r="B74" s="40" t="s">
        <v>29</v>
      </c>
      <c r="C74" s="40"/>
      <c r="D74" s="8"/>
      <c r="E74" s="8"/>
      <c r="F74" s="9"/>
      <c r="G74" s="9"/>
      <c r="H74" s="9"/>
    </row>
    <row r="75" spans="1:8" x14ac:dyDescent="0.2">
      <c r="A75" s="40"/>
      <c r="B75" s="40"/>
      <c r="C75" s="40"/>
      <c r="D75" s="8"/>
      <c r="E75" s="8"/>
      <c r="F75" s="9"/>
      <c r="G75" s="9"/>
      <c r="H75" s="9"/>
    </row>
    <row r="76" spans="1:8" ht="12.75" customHeight="1" x14ac:dyDescent="0.2">
      <c r="A76" s="190" t="s">
        <v>33</v>
      </c>
      <c r="B76" s="191" t="str">
        <f>"Incentive Amt = (Lane-"&amp;IF(Units="US CUSTOMARY","miles","kilometers")&amp;" x "&amp;IF(FP="FP-14",IF(Units="US CUSTOMARY","80,000 x 0.05)","49,600 x 0.05)"),IF(FP="FP-24",IF(Units="US CUSTOMARY","100,000 x 0.05)","62,200 x 0.05)")))</f>
        <v>Incentive Amt = (Lane-miles x 100,000 x 0.05)</v>
      </c>
      <c r="C76" s="40"/>
      <c r="D76" s="8"/>
      <c r="E76" s="8"/>
      <c r="F76" s="9"/>
      <c r="G76" s="9"/>
      <c r="H76" s="9"/>
    </row>
    <row r="77" spans="1:8" x14ac:dyDescent="0.2">
      <c r="A77" s="7"/>
      <c r="B77" s="7"/>
      <c r="C77" s="40"/>
      <c r="D77" s="8"/>
      <c r="E77" s="8"/>
      <c r="F77" s="9"/>
      <c r="G77" s="9"/>
      <c r="H77" s="9"/>
    </row>
    <row r="78" spans="1:8" x14ac:dyDescent="0.2">
      <c r="A78" s="7"/>
      <c r="B78" s="7"/>
      <c r="C78" s="40"/>
      <c r="D78" s="8"/>
      <c r="E78" s="8"/>
      <c r="F78" s="9"/>
      <c r="G78" s="9"/>
      <c r="H78" s="9"/>
    </row>
    <row r="79" spans="1:8" ht="18" customHeight="1" x14ac:dyDescent="0.25">
      <c r="A79" s="208" t="s">
        <v>34</v>
      </c>
      <c r="B79" s="208"/>
      <c r="C79" s="208"/>
      <c r="D79" s="208"/>
      <c r="E79" s="208"/>
      <c r="F79" s="208"/>
      <c r="G79" s="208"/>
      <c r="H79" s="208"/>
    </row>
    <row r="80" spans="1:8" ht="19.5" customHeight="1" x14ac:dyDescent="0.2">
      <c r="A80" s="7"/>
      <c r="B80" s="7"/>
      <c r="C80" s="11" t="s">
        <v>1</v>
      </c>
      <c r="D80" s="12" t="str">
        <f>IF(FP="FP-24","FP-24","FP-14")</f>
        <v>FP-24</v>
      </c>
      <c r="E80" s="8"/>
      <c r="F80" s="9"/>
      <c r="G80" s="9"/>
      <c r="H80" s="9"/>
    </row>
    <row r="81" spans="1:8" ht="12.75" customHeight="1" x14ac:dyDescent="0.2">
      <c r="A81" s="7"/>
      <c r="B81" s="7"/>
      <c r="C81" s="7"/>
      <c r="D81" s="10"/>
      <c r="E81" s="8"/>
      <c r="F81" s="9"/>
      <c r="G81" s="9"/>
      <c r="H81" s="9"/>
    </row>
    <row r="82" spans="1:8" x14ac:dyDescent="0.2">
      <c r="A82" s="11" t="s">
        <v>3</v>
      </c>
      <c r="B82" s="206" t="str">
        <f>+B4</f>
        <v>AZ Heidi Test(1)</v>
      </c>
      <c r="C82" s="206"/>
      <c r="D82" s="12"/>
      <c r="E82" s="12"/>
      <c r="F82" s="13"/>
      <c r="G82" s="14" t="s">
        <v>5</v>
      </c>
      <c r="H82" s="15">
        <f ca="1" xml:space="preserve"> TODAY()</f>
        <v>45532</v>
      </c>
    </row>
    <row r="83" spans="1:8" ht="6" customHeight="1" x14ac:dyDescent="0.2">
      <c r="A83" s="11"/>
      <c r="B83" s="206"/>
      <c r="C83" s="206"/>
      <c r="D83" s="12"/>
      <c r="E83" s="12"/>
      <c r="F83" s="13"/>
      <c r="G83" s="14"/>
      <c r="H83" s="15"/>
    </row>
    <row r="84" spans="1:8" x14ac:dyDescent="0.2">
      <c r="A84" s="11" t="s">
        <v>6</v>
      </c>
      <c r="B84" s="212" t="str">
        <f>+B6</f>
        <v>Heidi National Park</v>
      </c>
      <c r="C84" s="212"/>
      <c r="D84" s="212"/>
      <c r="E84" s="212"/>
      <c r="F84" s="212"/>
      <c r="G84" s="14" t="str">
        <f>+G6</f>
        <v xml:space="preserve">Schedule Type: </v>
      </c>
      <c r="H84" s="16" t="str">
        <f>+H6</f>
        <v>Base</v>
      </c>
    </row>
    <row r="85" spans="1:8" x14ac:dyDescent="0.2">
      <c r="A85" s="11"/>
      <c r="B85" s="206"/>
      <c r="C85" s="206"/>
      <c r="D85" s="206"/>
      <c r="E85" s="206"/>
      <c r="F85" s="206"/>
      <c r="G85" s="14" t="str">
        <f>+G8</f>
        <v>Schedule Letter:</v>
      </c>
      <c r="H85" s="16" t="str">
        <f>+H8</f>
        <v>A</v>
      </c>
    </row>
    <row r="86" spans="1:8" ht="14.25" customHeight="1" x14ac:dyDescent="0.2">
      <c r="A86" s="7"/>
      <c r="B86" s="7"/>
      <c r="C86" s="7"/>
      <c r="D86" s="8"/>
      <c r="E86" s="8"/>
      <c r="F86" s="9"/>
      <c r="G86" s="14" t="s">
        <v>12</v>
      </c>
      <c r="H86" s="13" t="str">
        <f>+Units</f>
        <v>US CUSTOMARY</v>
      </c>
    </row>
    <row r="87" spans="1:8" ht="6.75" customHeight="1" thickBot="1" x14ac:dyDescent="0.25">
      <c r="A87" s="7"/>
      <c r="B87" s="7"/>
      <c r="C87" s="7"/>
      <c r="D87" s="8"/>
      <c r="E87" s="8"/>
      <c r="F87" s="9"/>
      <c r="G87" s="14"/>
      <c r="H87" s="13"/>
    </row>
    <row r="88" spans="1:8" ht="19.5" customHeight="1" thickBot="1" x14ac:dyDescent="0.25">
      <c r="A88" s="129" t="s">
        <v>35</v>
      </c>
      <c r="B88" s="130"/>
      <c r="C88" s="130"/>
      <c r="D88" s="130"/>
      <c r="E88" s="130"/>
      <c r="F88" s="130"/>
      <c r="G88" s="130"/>
      <c r="H88" s="131"/>
    </row>
    <row r="89" spans="1:8" ht="6" customHeight="1" x14ac:dyDescent="0.2">
      <c r="A89" s="17"/>
      <c r="B89" s="43"/>
      <c r="C89" s="43"/>
      <c r="D89" s="44"/>
      <c r="E89" s="45"/>
      <c r="F89" s="44"/>
      <c r="G89" s="44"/>
      <c r="H89" s="44"/>
    </row>
    <row r="90" spans="1:8" ht="12.75" customHeight="1" x14ac:dyDescent="0.2">
      <c r="A90" s="56" t="s">
        <v>36</v>
      </c>
      <c r="B90" s="57"/>
      <c r="C90" s="58" t="s">
        <v>37</v>
      </c>
      <c r="D90" s="59" t="str">
        <f>IF(Units="US CUSTOMARY"," CUYD"," m3")</f>
        <v xml:space="preserve"> CUYD</v>
      </c>
      <c r="E90" s="60"/>
      <c r="F90" s="61" t="s">
        <v>38</v>
      </c>
      <c r="G90" s="44"/>
      <c r="H90" s="44"/>
    </row>
    <row r="91" spans="1:8" ht="12.75" customHeight="1" x14ac:dyDescent="0.2">
      <c r="A91" s="87">
        <v>20401</v>
      </c>
      <c r="B91" s="88" t="s">
        <v>39</v>
      </c>
      <c r="C91" s="215">
        <f>IF(Units="US Customary", 0.3, 0.39)</f>
        <v>0.3</v>
      </c>
      <c r="D91" s="90"/>
      <c r="E91" s="91"/>
      <c r="F91" s="108" t="str">
        <f>IF(ISNUMBER(D91),+C$91*D91, "-")</f>
        <v>-</v>
      </c>
      <c r="G91" s="25"/>
      <c r="H91" s="25"/>
    </row>
    <row r="92" spans="1:8" ht="12.75" customHeight="1" x14ac:dyDescent="0.2">
      <c r="A92" s="87">
        <v>20402</v>
      </c>
      <c r="B92" s="88" t="s">
        <v>40</v>
      </c>
      <c r="C92" s="216"/>
      <c r="D92" s="90"/>
      <c r="E92" s="91"/>
      <c r="F92" s="108" t="str">
        <f t="shared" ref="F92:F100" si="1">IF(ISNUMBER(D92),+C$91*D92, "-")</f>
        <v>-</v>
      </c>
      <c r="G92" s="25"/>
      <c r="H92" s="25"/>
    </row>
    <row r="93" spans="1:8" ht="12.75" customHeight="1" x14ac:dyDescent="0.2">
      <c r="A93" s="87">
        <v>20403</v>
      </c>
      <c r="B93" s="88" t="s">
        <v>41</v>
      </c>
      <c r="C93" s="216"/>
      <c r="D93" s="90"/>
      <c r="E93" s="91"/>
      <c r="F93" s="108" t="str">
        <f t="shared" si="1"/>
        <v>-</v>
      </c>
      <c r="G93" s="25"/>
      <c r="H93" s="25"/>
    </row>
    <row r="94" spans="1:8" ht="12.75" customHeight="1" x14ac:dyDescent="0.2">
      <c r="A94" s="87">
        <v>20404</v>
      </c>
      <c r="B94" s="89" t="s">
        <v>42</v>
      </c>
      <c r="C94" s="216"/>
      <c r="D94" s="90"/>
      <c r="E94" s="91"/>
      <c r="F94" s="108" t="str">
        <f t="shared" si="1"/>
        <v>-</v>
      </c>
      <c r="G94" s="25"/>
      <c r="H94" s="25"/>
    </row>
    <row r="95" spans="1:8" ht="12.75" customHeight="1" x14ac:dyDescent="0.2">
      <c r="A95" s="87">
        <v>20410</v>
      </c>
      <c r="B95" s="89" t="s">
        <v>43</v>
      </c>
      <c r="C95" s="216"/>
      <c r="D95" s="90"/>
      <c r="E95" s="91"/>
      <c r="F95" s="108" t="str">
        <f t="shared" si="1"/>
        <v>-</v>
      </c>
      <c r="G95" s="25"/>
      <c r="H95" s="25"/>
    </row>
    <row r="96" spans="1:8" ht="12.75" customHeight="1" x14ac:dyDescent="0.2">
      <c r="A96" s="87">
        <v>20411</v>
      </c>
      <c r="B96" s="89" t="s">
        <v>44</v>
      </c>
      <c r="C96" s="216"/>
      <c r="D96" s="90"/>
      <c r="E96" s="91"/>
      <c r="F96" s="108" t="str">
        <f t="shared" si="1"/>
        <v>-</v>
      </c>
      <c r="G96" s="25"/>
      <c r="H96" s="25"/>
    </row>
    <row r="97" spans="1:8" ht="12.75" customHeight="1" x14ac:dyDescent="0.2">
      <c r="A97" s="87" t="str">
        <f>IF(FP="FP-24","-","20415")</f>
        <v>-</v>
      </c>
      <c r="B97" s="88" t="str">
        <f>IF(FP="FP-24","                      -","Select topping")</f>
        <v xml:space="preserve">                      -</v>
      </c>
      <c r="C97" s="216"/>
      <c r="D97" s="90"/>
      <c r="E97" s="91"/>
      <c r="F97" s="108" t="str">
        <f t="shared" si="1"/>
        <v>-</v>
      </c>
      <c r="G97" s="25"/>
      <c r="H97" s="25"/>
    </row>
    <row r="98" spans="1:8" ht="12.75" customHeight="1" x14ac:dyDescent="0.2">
      <c r="A98" s="87" t="str">
        <f>IF(FP="FP-24","-","20416")</f>
        <v>-</v>
      </c>
      <c r="B98" s="88" t="str">
        <f>IF(FP="FP-24","                      -","Select topping")</f>
        <v xml:space="preserve">                      -</v>
      </c>
      <c r="C98" s="216"/>
      <c r="D98" s="90"/>
      <c r="E98" s="91"/>
      <c r="F98" s="108" t="str">
        <f t="shared" si="1"/>
        <v>-</v>
      </c>
      <c r="G98" s="25"/>
      <c r="H98" s="25"/>
    </row>
    <row r="99" spans="1:8" ht="12.75" customHeight="1" x14ac:dyDescent="0.2">
      <c r="A99" s="87">
        <v>20420</v>
      </c>
      <c r="B99" s="89" t="s">
        <v>45</v>
      </c>
      <c r="C99" s="216"/>
      <c r="D99" s="90"/>
      <c r="E99" s="91"/>
      <c r="F99" s="108" t="str">
        <f t="shared" si="1"/>
        <v>-</v>
      </c>
      <c r="G99" s="25"/>
      <c r="H99" s="25"/>
    </row>
    <row r="100" spans="1:8" ht="12.75" customHeight="1" x14ac:dyDescent="0.2">
      <c r="A100" s="87">
        <v>20421</v>
      </c>
      <c r="B100" s="89" t="s">
        <v>46</v>
      </c>
      <c r="C100" s="216"/>
      <c r="D100" s="90"/>
      <c r="E100" s="91"/>
      <c r="F100" s="108" t="str">
        <f t="shared" si="1"/>
        <v>-</v>
      </c>
      <c r="G100" s="25"/>
      <c r="H100" s="25"/>
    </row>
    <row r="101" spans="1:8" ht="12.75" customHeight="1" x14ac:dyDescent="0.2">
      <c r="A101" s="62" t="s">
        <v>47</v>
      </c>
      <c r="B101" s="63"/>
      <c r="C101" s="58" t="s">
        <v>37</v>
      </c>
      <c r="D101" s="59" t="str">
        <f>IF(Units="US CUSTOMARY"," Tons"," tonnes")</f>
        <v xml:space="preserve"> Tons</v>
      </c>
      <c r="E101" s="60"/>
      <c r="F101" s="61" t="s">
        <v>38</v>
      </c>
      <c r="G101" s="25"/>
      <c r="H101" s="25"/>
    </row>
    <row r="102" spans="1:8" ht="12.75" customHeight="1" x14ac:dyDescent="0.2">
      <c r="A102" s="87">
        <v>30101</v>
      </c>
      <c r="B102" s="89" t="s">
        <v>48</v>
      </c>
      <c r="C102" s="217">
        <f>IF(Units="US Customary", 0.7, 0.77)</f>
        <v>0.7</v>
      </c>
      <c r="D102" s="90"/>
      <c r="E102" s="91"/>
      <c r="F102" s="108" t="str">
        <f>IF(ISNUMBER(D102),+C$102*D102, "-")</f>
        <v>-</v>
      </c>
      <c r="G102" s="25"/>
      <c r="H102" s="25"/>
    </row>
    <row r="103" spans="1:8" ht="12.75" customHeight="1" x14ac:dyDescent="0.2">
      <c r="A103" s="87">
        <v>30102</v>
      </c>
      <c r="B103" s="89" t="s">
        <v>49</v>
      </c>
      <c r="C103" s="218"/>
      <c r="D103" s="90"/>
      <c r="E103" s="91"/>
      <c r="F103" s="108" t="str">
        <f t="shared" ref="F103:F110" si="2">IF(ISNUMBER(D103),+C$102*D103, "-")</f>
        <v>-</v>
      </c>
      <c r="G103" s="25"/>
      <c r="H103" s="25"/>
    </row>
    <row r="104" spans="1:8" ht="12.75" customHeight="1" x14ac:dyDescent="0.2">
      <c r="A104" s="87">
        <v>30103</v>
      </c>
      <c r="B104" s="89" t="s">
        <v>49</v>
      </c>
      <c r="C104" s="218"/>
      <c r="D104" s="90"/>
      <c r="E104" s="91"/>
      <c r="F104" s="108" t="str">
        <f t="shared" si="2"/>
        <v>-</v>
      </c>
      <c r="G104" s="25"/>
      <c r="H104" s="25"/>
    </row>
    <row r="105" spans="1:8" ht="12.75" customHeight="1" x14ac:dyDescent="0.2">
      <c r="A105" s="135">
        <v>30105</v>
      </c>
      <c r="B105" s="136" t="s">
        <v>50</v>
      </c>
      <c r="C105" s="218"/>
      <c r="D105" s="90"/>
      <c r="E105" s="91"/>
      <c r="F105" s="108" t="str">
        <f t="shared" si="2"/>
        <v>-</v>
      </c>
      <c r="G105" s="25"/>
      <c r="H105" s="25"/>
    </row>
    <row r="106" spans="1:8" ht="12.75" customHeight="1" x14ac:dyDescent="0.2">
      <c r="A106" s="135">
        <v>30106</v>
      </c>
      <c r="B106" s="136" t="s">
        <v>51</v>
      </c>
      <c r="C106" s="218"/>
      <c r="D106" s="90"/>
      <c r="E106" s="91"/>
      <c r="F106" s="108" t="str">
        <f t="shared" si="2"/>
        <v>-</v>
      </c>
      <c r="G106" s="25"/>
      <c r="H106" s="25"/>
    </row>
    <row r="107" spans="1:8" ht="12.75" customHeight="1" x14ac:dyDescent="0.2">
      <c r="A107" s="135">
        <v>30107</v>
      </c>
      <c r="B107" s="136" t="s">
        <v>51</v>
      </c>
      <c r="C107" s="218"/>
      <c r="D107" s="90"/>
      <c r="E107" s="91"/>
      <c r="F107" s="108" t="str">
        <f t="shared" si="2"/>
        <v>-</v>
      </c>
      <c r="G107" s="25"/>
      <c r="H107" s="25"/>
    </row>
    <row r="108" spans="1:8" ht="12.75" customHeight="1" x14ac:dyDescent="0.2">
      <c r="A108" s="135">
        <v>30110</v>
      </c>
      <c r="B108" s="136" t="s">
        <v>52</v>
      </c>
      <c r="C108" s="218"/>
      <c r="D108" s="90"/>
      <c r="E108" s="91"/>
      <c r="F108" s="108" t="str">
        <f t="shared" si="2"/>
        <v>-</v>
      </c>
      <c r="G108" s="25"/>
      <c r="H108" s="25"/>
    </row>
    <row r="109" spans="1:8" ht="12.75" customHeight="1" x14ac:dyDescent="0.2">
      <c r="A109" s="135">
        <v>30111</v>
      </c>
      <c r="B109" s="136" t="s">
        <v>53</v>
      </c>
      <c r="C109" s="218"/>
      <c r="D109" s="90"/>
      <c r="E109" s="91"/>
      <c r="F109" s="108" t="str">
        <f t="shared" si="2"/>
        <v>-</v>
      </c>
      <c r="G109" s="25"/>
      <c r="H109" s="25"/>
    </row>
    <row r="110" spans="1:8" ht="12.75" customHeight="1" x14ac:dyDescent="0.2">
      <c r="A110" s="135">
        <v>30112</v>
      </c>
      <c r="B110" s="136" t="s">
        <v>53</v>
      </c>
      <c r="C110" s="218"/>
      <c r="D110" s="90"/>
      <c r="E110" s="91"/>
      <c r="F110" s="108" t="str">
        <f t="shared" si="2"/>
        <v>-</v>
      </c>
      <c r="G110" s="25"/>
      <c r="H110" s="25"/>
    </row>
    <row r="111" spans="1:8" ht="12.75" customHeight="1" x14ac:dyDescent="0.2">
      <c r="A111" s="62" t="s">
        <v>54</v>
      </c>
      <c r="B111" s="63"/>
      <c r="C111" s="58" t="s">
        <v>37</v>
      </c>
      <c r="D111" s="77" t="str">
        <f>IF(Units="US CUSTOMARY"," SQYD","m2")</f>
        <v xml:space="preserve"> SQYD</v>
      </c>
      <c r="E111" s="64"/>
      <c r="F111" s="61" t="s">
        <v>38</v>
      </c>
      <c r="G111" s="25"/>
      <c r="H111" s="25"/>
    </row>
    <row r="112" spans="1:8" ht="12.75" customHeight="1" x14ac:dyDescent="0.2">
      <c r="A112" s="87" t="s">
        <v>55</v>
      </c>
      <c r="B112" s="88" t="s">
        <v>56</v>
      </c>
      <c r="C112" s="218">
        <f>IF(Units="US Customary", 0.3, 0.36)</f>
        <v>0.3</v>
      </c>
      <c r="D112" s="98"/>
      <c r="E112" s="91"/>
      <c r="F112" s="108" t="str">
        <f>IF(ISNUMBER(D112),+C$112*D112, "-")</f>
        <v>-</v>
      </c>
      <c r="G112" s="25"/>
      <c r="H112" s="25"/>
    </row>
    <row r="113" spans="1:8" ht="12.75" customHeight="1" x14ac:dyDescent="0.2">
      <c r="A113" s="87" t="s">
        <v>57</v>
      </c>
      <c r="B113" s="88" t="s">
        <v>58</v>
      </c>
      <c r="C113" s="218"/>
      <c r="D113" s="98"/>
      <c r="E113" s="91"/>
      <c r="F113" s="108" t="str">
        <f>IF(ISNUMBER(D113),+C$112*D113, "-")</f>
        <v>-</v>
      </c>
      <c r="G113" s="25"/>
      <c r="H113" s="25"/>
    </row>
    <row r="114" spans="1:8" ht="12.75" customHeight="1" x14ac:dyDescent="0.2">
      <c r="A114" s="62" t="s">
        <v>59</v>
      </c>
      <c r="B114" s="65"/>
      <c r="C114" s="58" t="s">
        <v>37</v>
      </c>
      <c r="D114" s="77" t="str">
        <f>IF(Units="US CUSTOMARY"," SQYD","m2")</f>
        <v xml:space="preserve"> SQYD</v>
      </c>
      <c r="E114" s="64"/>
      <c r="F114" s="61" t="s">
        <v>38</v>
      </c>
      <c r="G114" s="25"/>
      <c r="H114" s="25"/>
    </row>
    <row r="115" spans="1:8" ht="12.75" customHeight="1" x14ac:dyDescent="0.2">
      <c r="A115" s="87" t="s">
        <v>60</v>
      </c>
      <c r="B115" s="92" t="s">
        <v>61</v>
      </c>
      <c r="C115" s="217">
        <f>IF(Units="US Customary", 0.3, 0.36)</f>
        <v>0.3</v>
      </c>
      <c r="D115" s="98"/>
      <c r="E115" s="91"/>
      <c r="F115" s="108" t="str">
        <f>IF(ISNUMBER(D115),+C$115*D115, "-")</f>
        <v>-</v>
      </c>
      <c r="G115" s="73"/>
      <c r="H115" s="25"/>
    </row>
    <row r="116" spans="1:8" ht="12.75" customHeight="1" x14ac:dyDescent="0.2">
      <c r="A116" s="87" t="s">
        <v>62</v>
      </c>
      <c r="B116" s="92" t="s">
        <v>63</v>
      </c>
      <c r="C116" s="218"/>
      <c r="D116" s="98"/>
      <c r="E116" s="91"/>
      <c r="F116" s="108" t="str">
        <f t="shared" ref="F116:F118" si="3">IF(ISNUMBER(D116),+C$115*D116, "-")</f>
        <v>-</v>
      </c>
      <c r="G116" s="73"/>
      <c r="H116" s="25"/>
    </row>
    <row r="117" spans="1:8" ht="12.75" customHeight="1" x14ac:dyDescent="0.2">
      <c r="A117" s="87" t="s">
        <v>64</v>
      </c>
      <c r="B117" s="92" t="s">
        <v>65</v>
      </c>
      <c r="C117" s="218"/>
      <c r="D117" s="98"/>
      <c r="E117" s="91"/>
      <c r="F117" s="108" t="str">
        <f t="shared" si="3"/>
        <v>-</v>
      </c>
      <c r="G117" s="73"/>
      <c r="H117" s="25"/>
    </row>
    <row r="118" spans="1:8" ht="12.75" customHeight="1" x14ac:dyDescent="0.2">
      <c r="A118" s="93" t="s">
        <v>66</v>
      </c>
      <c r="B118" s="94" t="s">
        <v>67</v>
      </c>
      <c r="C118" s="218"/>
      <c r="D118" s="98"/>
      <c r="E118" s="96"/>
      <c r="F118" s="108" t="str">
        <f t="shared" si="3"/>
        <v>-</v>
      </c>
      <c r="G118" s="73"/>
      <c r="H118" s="25"/>
    </row>
    <row r="119" spans="1:8" ht="12.75" customHeight="1" x14ac:dyDescent="0.2">
      <c r="A119" s="67" t="str">
        <f>IF(FP="FP-24","Section 308 - Emulsified Asphalt-Treated Base Course","Section 309 - Emulsified Asphalt-Treated Base Course")</f>
        <v>Section 308 - Emulsified Asphalt-Treated Base Course</v>
      </c>
      <c r="B119" s="63"/>
      <c r="C119" s="58" t="s">
        <v>37</v>
      </c>
      <c r="D119" s="77" t="str">
        <f>IF(Units="US CUSTOMARY"," Tons"," tonnes")</f>
        <v xml:space="preserve"> Tons</v>
      </c>
      <c r="E119" s="64"/>
      <c r="F119" s="66" t="s">
        <v>38</v>
      </c>
      <c r="G119" s="25"/>
      <c r="H119" s="25"/>
    </row>
    <row r="120" spans="1:8" ht="12.75" customHeight="1" x14ac:dyDescent="0.2">
      <c r="A120" s="97" t="str">
        <f>IF(FP="FP-24","30801","30901")</f>
        <v>30801</v>
      </c>
      <c r="B120" s="89" t="str">
        <f>IF(FP="FP-24","Emulsified asphalt-treated aggregate base","Emulsified asphalt-treated aggregate base")</f>
        <v>Emulsified asphalt-treated aggregate base</v>
      </c>
      <c r="C120" s="217">
        <f>IF(Units="US Customary", 0.7, 0.77)</f>
        <v>0.7</v>
      </c>
      <c r="D120" s="98"/>
      <c r="E120" s="91"/>
      <c r="F120" s="108" t="str">
        <f>IF(ISNUMBER(D120),+C$120*D120, "-")</f>
        <v>-</v>
      </c>
      <c r="G120" s="25"/>
      <c r="H120" s="25"/>
    </row>
    <row r="121" spans="1:8" ht="12.75" customHeight="1" x14ac:dyDescent="0.2">
      <c r="A121" s="97" t="str">
        <f>IF(FP="FP-24","30802","30902")</f>
        <v>30802</v>
      </c>
      <c r="B121" s="89" t="str">
        <f>IF(FP="FP-24","Emulsified asphalt-treated aggregate base*","Emulsified asphalt-treated aggregate base*")</f>
        <v>Emulsified asphalt-treated aggregate base*</v>
      </c>
      <c r="C121" s="218"/>
      <c r="D121" s="98"/>
      <c r="E121" s="91"/>
      <c r="F121" s="108" t="str">
        <f t="shared" ref="F121:F122" si="4">IF(ISNUMBER(D121),+C$120*D121, "-")</f>
        <v>-</v>
      </c>
      <c r="G121" s="25"/>
      <c r="H121" s="25"/>
    </row>
    <row r="122" spans="1:8" ht="12.75" customHeight="1" x14ac:dyDescent="0.2">
      <c r="A122" s="97" t="str">
        <f>IF(FP="FP-24","30803","30903")</f>
        <v>30803</v>
      </c>
      <c r="B122" s="89" t="str">
        <f>IF(FP="FP-24","Emulsified asphalt-treated aggregate base*","Emulsified asphalt-treated aggregate base*")</f>
        <v>Emulsified asphalt-treated aggregate base*</v>
      </c>
      <c r="C122" s="218"/>
      <c r="D122" s="98"/>
      <c r="E122" s="91"/>
      <c r="F122" s="108" t="str">
        <f t="shared" si="4"/>
        <v>-</v>
      </c>
      <c r="G122" s="25"/>
      <c r="H122" s="25"/>
    </row>
    <row r="123" spans="1:8" ht="12.75" customHeight="1" x14ac:dyDescent="0.2">
      <c r="A123" s="67" t="s">
        <v>68</v>
      </c>
      <c r="B123" s="68"/>
      <c r="C123" s="58" t="s">
        <v>37</v>
      </c>
      <c r="D123" s="77" t="str">
        <f>IF(Units="US CUSTOMARY"," SQYD","m2")</f>
        <v xml:space="preserve"> SQYD</v>
      </c>
      <c r="E123" s="64"/>
      <c r="F123" s="66" t="s">
        <v>38</v>
      </c>
      <c r="G123" s="78"/>
      <c r="H123" s="25"/>
    </row>
    <row r="124" spans="1:8" ht="12.75" customHeight="1" x14ac:dyDescent="0.2">
      <c r="A124" s="97" t="s">
        <v>69</v>
      </c>
      <c r="B124" s="89" t="s">
        <v>70</v>
      </c>
      <c r="C124" s="218">
        <f>IF(Units="US Customary", 0.15, 0.18)</f>
        <v>0.15</v>
      </c>
      <c r="D124" s="98"/>
      <c r="E124" s="91"/>
      <c r="F124" s="108" t="str">
        <f>IF(ISNUMBER(D124),+C$124*D124, "-")</f>
        <v>-</v>
      </c>
      <c r="G124" s="25"/>
      <c r="H124" s="25"/>
    </row>
    <row r="125" spans="1:8" ht="12.75" customHeight="1" x14ac:dyDescent="0.2">
      <c r="A125" s="100" t="s">
        <v>71</v>
      </c>
      <c r="B125" s="192" t="s">
        <v>72</v>
      </c>
      <c r="C125" s="218"/>
      <c r="D125" s="102"/>
      <c r="E125" s="96"/>
      <c r="F125" s="108" t="str">
        <f>IF(ISNUMBER(D125),+C$124*D125, "-")</f>
        <v>-</v>
      </c>
      <c r="G125" s="25"/>
      <c r="H125" s="25"/>
    </row>
    <row r="126" spans="1:8" ht="12.75" customHeight="1" x14ac:dyDescent="0.2">
      <c r="A126" s="67" t="s">
        <v>73</v>
      </c>
      <c r="B126" s="68"/>
      <c r="C126" s="58" t="s">
        <v>37</v>
      </c>
      <c r="D126" s="77" t="str">
        <f>IF(Units="US CUSTOMARY"," Tons"," tonnes")</f>
        <v xml:space="preserve"> Tons</v>
      </c>
      <c r="E126" s="64"/>
      <c r="F126" s="66" t="s">
        <v>38</v>
      </c>
      <c r="G126" s="25"/>
      <c r="H126" s="25"/>
    </row>
    <row r="127" spans="1:8" ht="12.75" customHeight="1" x14ac:dyDescent="0.2">
      <c r="A127" s="97" t="s">
        <v>74</v>
      </c>
      <c r="B127" s="89" t="s">
        <v>75</v>
      </c>
      <c r="C127" s="219">
        <f>IF(Units="US Customary", 0.7, 0.77)</f>
        <v>0.7</v>
      </c>
      <c r="D127" s="98"/>
      <c r="E127" s="91"/>
      <c r="F127" s="108" t="str">
        <f>IF(ISNUMBER(D127),+C$127*D127, "-")</f>
        <v>-</v>
      </c>
      <c r="G127" s="78"/>
      <c r="H127" s="25"/>
    </row>
    <row r="128" spans="1:8" ht="12.75" customHeight="1" x14ac:dyDescent="0.2">
      <c r="A128" s="100" t="s">
        <v>76</v>
      </c>
      <c r="B128" s="192" t="s">
        <v>75</v>
      </c>
      <c r="C128" s="219"/>
      <c r="D128" s="102"/>
      <c r="E128" s="96"/>
      <c r="F128" s="108" t="str">
        <f t="shared" ref="F128:F129" si="5">IF(ISNUMBER(D128),+C$127*D128, "-")</f>
        <v>-</v>
      </c>
      <c r="G128" s="25"/>
      <c r="H128" s="25"/>
    </row>
    <row r="129" spans="1:8" ht="12.75" customHeight="1" x14ac:dyDescent="0.2">
      <c r="A129" s="97" t="s">
        <v>77</v>
      </c>
      <c r="B129" s="89" t="s">
        <v>78</v>
      </c>
      <c r="C129" s="220"/>
      <c r="D129" s="98"/>
      <c r="E129" s="91"/>
      <c r="F129" s="108" t="str">
        <f t="shared" si="5"/>
        <v>-</v>
      </c>
      <c r="G129" s="25"/>
      <c r="H129" s="25"/>
    </row>
    <row r="130" spans="1:8" ht="12.75" customHeight="1" x14ac:dyDescent="0.2">
      <c r="A130" s="67" t="s">
        <v>79</v>
      </c>
      <c r="B130" s="68"/>
      <c r="C130" s="76" t="s">
        <v>37</v>
      </c>
      <c r="D130" s="77" t="str">
        <f>IF(Units="US CUSTOMARY"," Tons"," tonnes")</f>
        <v xml:space="preserve"> Tons</v>
      </c>
      <c r="E130" s="71"/>
      <c r="F130" s="75" t="s">
        <v>38</v>
      </c>
      <c r="G130" s="25"/>
      <c r="H130" s="25"/>
    </row>
    <row r="131" spans="1:8" ht="12.75" customHeight="1" x14ac:dyDescent="0.2">
      <c r="A131" s="97" t="s">
        <v>80</v>
      </c>
      <c r="B131" s="89" t="s">
        <v>81</v>
      </c>
      <c r="C131" s="219">
        <f>IF(Units="US Customary",2.4, 2.65)</f>
        <v>2.4</v>
      </c>
      <c r="D131" s="98"/>
      <c r="E131" s="99"/>
      <c r="F131" s="137" t="str">
        <f>IF(ISNUMBER(D131),+C$131*D131, "-")</f>
        <v>-</v>
      </c>
      <c r="G131" s="78"/>
      <c r="H131" s="25"/>
    </row>
    <row r="132" spans="1:8" ht="22.5" x14ac:dyDescent="0.2">
      <c r="A132" s="100" t="s">
        <v>82</v>
      </c>
      <c r="B132" s="101" t="s">
        <v>83</v>
      </c>
      <c r="C132" s="219"/>
      <c r="D132" s="102"/>
      <c r="E132" s="103"/>
      <c r="F132" s="137" t="str">
        <f>IF(ISNUMBER(D132),+C$131*D132, "-")</f>
        <v>-</v>
      </c>
      <c r="G132" s="25"/>
      <c r="H132" s="25"/>
    </row>
    <row r="133" spans="1:8" ht="28.5" customHeight="1" x14ac:dyDescent="0.25">
      <c r="A133" s="213" t="s">
        <v>84</v>
      </c>
      <c r="B133" s="214"/>
      <c r="C133" s="82" t="s">
        <v>37</v>
      </c>
      <c r="D133" s="83" t="str">
        <f>IF(Units="US CUSTOMARY"," Tons"," tonnes")</f>
        <v xml:space="preserve"> Tons</v>
      </c>
      <c r="E133" s="84"/>
      <c r="F133" s="85" t="s">
        <v>38</v>
      </c>
      <c r="G133" s="25"/>
      <c r="H133" s="25"/>
    </row>
    <row r="134" spans="1:8" ht="12.75" customHeight="1" x14ac:dyDescent="0.2">
      <c r="A134" s="97" t="s">
        <v>85</v>
      </c>
      <c r="B134" s="89" t="s">
        <v>86</v>
      </c>
      <c r="C134" s="219">
        <f>IF(Units="US Customary",2.4, 2.65)</f>
        <v>2.4</v>
      </c>
      <c r="D134" s="98"/>
      <c r="E134" s="99"/>
      <c r="F134" s="137" t="str">
        <f>IF(ISNUMBER(D134),+C$134*D134, "-")</f>
        <v>-</v>
      </c>
      <c r="G134" s="78"/>
      <c r="H134" s="25"/>
    </row>
    <row r="135" spans="1:8" ht="12.75" customHeight="1" x14ac:dyDescent="0.2">
      <c r="A135" s="100" t="s">
        <v>87</v>
      </c>
      <c r="B135" s="101" t="s">
        <v>88</v>
      </c>
      <c r="C135" s="219"/>
      <c r="D135" s="102"/>
      <c r="E135" s="103"/>
      <c r="F135" s="137" t="str">
        <f>IF(ISNUMBER(D135),+C$134*D135, "-")</f>
        <v>-</v>
      </c>
      <c r="G135" s="25"/>
      <c r="H135" s="25"/>
    </row>
    <row r="136" spans="1:8" ht="12.75" customHeight="1" x14ac:dyDescent="0.2">
      <c r="A136" s="221" t="str">
        <f>IF(FP="FP-24","Section 405 - Open-Graded Asphalt Friction","Section 405 - Open-Graded Asphalt Friction")</f>
        <v>Section 405 - Open-Graded Asphalt Friction</v>
      </c>
      <c r="B136" s="222"/>
      <c r="C136" s="76" t="s">
        <v>37</v>
      </c>
      <c r="D136" s="77" t="str">
        <f>IF(Units="US CUSTOMARY"," Tons"," tonnes")</f>
        <v xml:space="preserve"> Tons</v>
      </c>
      <c r="E136" s="71"/>
      <c r="F136" s="75" t="s">
        <v>38</v>
      </c>
      <c r="G136" s="48"/>
      <c r="H136" s="48"/>
    </row>
    <row r="137" spans="1:8" ht="12.75" customHeight="1" x14ac:dyDescent="0.2">
      <c r="A137" s="97" t="str">
        <f>IF(FP="FP-03","40501","40501")</f>
        <v>40501</v>
      </c>
      <c r="B137" s="70" t="str">
        <f>IF(FP="FP-03","Continuous cold recylced aphalt base","Open-graded asphalt friction course")</f>
        <v>Open-graded asphalt friction course</v>
      </c>
      <c r="C137" s="142">
        <f>IF(Units="US Customary",2.4, 2.65)</f>
        <v>2.4</v>
      </c>
      <c r="D137" s="98"/>
      <c r="E137" s="99"/>
      <c r="F137" s="137" t="str">
        <f>IF(ISNUMBER(D137),+C$137*D137, "-")</f>
        <v>-</v>
      </c>
      <c r="G137" s="80"/>
      <c r="H137" s="17"/>
    </row>
    <row r="138" spans="1:8" ht="12.75" customHeight="1" x14ac:dyDescent="0.25">
      <c r="A138" s="188" t="s">
        <v>89</v>
      </c>
      <c r="B138" s="104"/>
      <c r="C138" s="138"/>
      <c r="D138" s="147"/>
      <c r="E138" s="105"/>
      <c r="F138" s="139"/>
      <c r="G138" s="44"/>
      <c r="H138" s="44"/>
    </row>
    <row r="139" spans="1:8" ht="12.75" customHeight="1" x14ac:dyDescent="0.25">
      <c r="A139" s="188"/>
      <c r="B139" s="81"/>
      <c r="C139" s="140"/>
      <c r="D139" s="148"/>
      <c r="E139" s="106"/>
      <c r="F139" s="141"/>
      <c r="G139" s="44"/>
      <c r="H139" s="44"/>
    </row>
    <row r="140" spans="1:8" ht="12.75" customHeight="1" x14ac:dyDescent="0.25">
      <c r="A140" s="188"/>
      <c r="B140" s="81"/>
      <c r="C140" s="140"/>
      <c r="D140" s="148"/>
      <c r="E140" s="106"/>
      <c r="F140" s="141"/>
      <c r="G140" s="44"/>
      <c r="H140" s="44"/>
    </row>
    <row r="141" spans="1:8" ht="12.75" customHeight="1" x14ac:dyDescent="0.25">
      <c r="A141" s="188"/>
      <c r="B141" s="81"/>
      <c r="C141" s="140"/>
      <c r="D141" s="148"/>
      <c r="E141" s="106"/>
      <c r="F141" s="141"/>
      <c r="G141" s="44"/>
      <c r="H141" s="44"/>
    </row>
    <row r="142" spans="1:8" ht="12.75" customHeight="1" x14ac:dyDescent="0.25">
      <c r="A142" s="188"/>
      <c r="B142" s="81"/>
      <c r="C142" s="140"/>
      <c r="D142" s="148"/>
      <c r="E142" s="106"/>
      <c r="F142" s="141"/>
      <c r="G142" s="44"/>
      <c r="H142" s="44"/>
    </row>
    <row r="143" spans="1:8" ht="12.75" customHeight="1" x14ac:dyDescent="0.25">
      <c r="A143" s="188"/>
      <c r="B143" s="81"/>
      <c r="C143" s="140"/>
      <c r="D143" s="148"/>
      <c r="E143" s="106"/>
      <c r="F143" s="141"/>
      <c r="G143" s="44"/>
      <c r="H143" s="44"/>
    </row>
    <row r="144" spans="1:8" ht="12.75" customHeight="1" x14ac:dyDescent="0.25">
      <c r="A144" s="188"/>
      <c r="B144" s="81"/>
      <c r="C144" s="140"/>
      <c r="D144" s="148"/>
      <c r="E144" s="106"/>
      <c r="F144" s="141"/>
      <c r="G144" s="44"/>
      <c r="H144" s="44"/>
    </row>
    <row r="145" spans="1:8" ht="12.75" customHeight="1" x14ac:dyDescent="0.25">
      <c r="A145" s="188"/>
      <c r="B145" s="81"/>
      <c r="C145" s="140"/>
      <c r="D145" s="148"/>
      <c r="E145" s="106"/>
      <c r="F145" s="141"/>
      <c r="G145" s="44"/>
      <c r="H145" s="44"/>
    </row>
    <row r="146" spans="1:8" ht="12.75" customHeight="1" x14ac:dyDescent="0.25">
      <c r="A146" s="188"/>
      <c r="B146" s="81"/>
      <c r="C146" s="140"/>
      <c r="D146" s="148"/>
      <c r="E146" s="106"/>
      <c r="F146" s="141"/>
      <c r="G146" s="44"/>
      <c r="H146" s="44"/>
    </row>
    <row r="147" spans="1:8" ht="12.75" customHeight="1" x14ac:dyDescent="0.25">
      <c r="A147" s="188"/>
      <c r="B147" s="81"/>
      <c r="C147" s="140"/>
      <c r="D147" s="148"/>
      <c r="E147" s="106"/>
      <c r="F147" s="141"/>
      <c r="G147" s="44"/>
      <c r="H147" s="44"/>
    </row>
    <row r="148" spans="1:8" ht="12.75" customHeight="1" x14ac:dyDescent="0.25">
      <c r="A148" s="188"/>
      <c r="B148" s="81"/>
      <c r="C148" s="140"/>
      <c r="D148" s="148"/>
      <c r="E148" s="106"/>
      <c r="F148" s="141"/>
      <c r="G148" s="44"/>
      <c r="H148" s="44"/>
    </row>
    <row r="149" spans="1:8" ht="12.75" customHeight="1" x14ac:dyDescent="0.25">
      <c r="A149" s="188"/>
      <c r="B149" s="81"/>
      <c r="C149" s="140"/>
      <c r="D149" s="148"/>
      <c r="E149" s="106"/>
      <c r="F149" s="141"/>
      <c r="G149" s="44"/>
      <c r="H149" s="44"/>
    </row>
    <row r="150" spans="1:8" ht="15" x14ac:dyDescent="0.25">
      <c r="A150" s="86"/>
      <c r="B150" s="81"/>
      <c r="C150" s="140"/>
      <c r="D150" s="148"/>
      <c r="E150" s="106"/>
      <c r="F150" s="141"/>
      <c r="G150" s="44"/>
      <c r="H150" s="44"/>
    </row>
    <row r="151" spans="1:8" ht="15" x14ac:dyDescent="0.25">
      <c r="A151" s="86"/>
      <c r="B151" s="81"/>
      <c r="C151" s="140"/>
      <c r="D151" s="148"/>
      <c r="E151" s="106"/>
      <c r="F151" s="141"/>
      <c r="G151" s="44"/>
      <c r="H151" s="44"/>
    </row>
    <row r="152" spans="1:8" ht="18" customHeight="1" x14ac:dyDescent="0.25">
      <c r="A152" s="208" t="s">
        <v>34</v>
      </c>
      <c r="B152" s="208"/>
      <c r="C152" s="208"/>
      <c r="D152" s="208"/>
      <c r="E152" s="208"/>
      <c r="F152" s="208"/>
      <c r="G152" s="208"/>
      <c r="H152" s="208"/>
    </row>
    <row r="153" spans="1:8" ht="19.5" customHeight="1" x14ac:dyDescent="0.2">
      <c r="A153" s="7"/>
      <c r="B153" s="7"/>
      <c r="C153" s="11" t="s">
        <v>1</v>
      </c>
      <c r="D153" s="12" t="str">
        <f>IF(FP="FP-24","FP-24","FP-14")</f>
        <v>FP-24</v>
      </c>
      <c r="E153" s="8"/>
      <c r="F153" s="9"/>
      <c r="G153" s="9"/>
      <c r="H153" s="9"/>
    </row>
    <row r="154" spans="1:8" ht="12.75" customHeight="1" x14ac:dyDescent="0.2">
      <c r="A154" s="7"/>
      <c r="B154" s="7"/>
      <c r="C154" s="7"/>
      <c r="D154" s="10"/>
      <c r="E154" s="8"/>
      <c r="F154" s="9"/>
      <c r="G154" s="9"/>
      <c r="H154" s="9"/>
    </row>
    <row r="155" spans="1:8" ht="12.75" customHeight="1" x14ac:dyDescent="0.2">
      <c r="A155" s="11" t="s">
        <v>3</v>
      </c>
      <c r="B155" s="206" t="str">
        <f>+B4</f>
        <v>AZ Heidi Test(1)</v>
      </c>
      <c r="C155" s="206"/>
      <c r="D155" s="12"/>
      <c r="E155" s="12"/>
      <c r="F155" s="13"/>
      <c r="G155" s="14" t="s">
        <v>5</v>
      </c>
      <c r="H155" s="15">
        <f ca="1" xml:space="preserve"> TODAY()</f>
        <v>45532</v>
      </c>
    </row>
    <row r="156" spans="1:8" ht="6" customHeight="1" x14ac:dyDescent="0.2">
      <c r="A156" s="11"/>
      <c r="B156" s="206"/>
      <c r="C156" s="206"/>
      <c r="D156" s="12"/>
      <c r="E156" s="12"/>
      <c r="F156" s="13"/>
      <c r="G156" s="14"/>
      <c r="H156" s="15"/>
    </row>
    <row r="157" spans="1:8" ht="12.75" customHeight="1" x14ac:dyDescent="0.2">
      <c r="A157" s="11" t="s">
        <v>6</v>
      </c>
      <c r="B157" s="212" t="str">
        <f>+B6</f>
        <v>Heidi National Park</v>
      </c>
      <c r="C157" s="212"/>
      <c r="D157" s="212"/>
      <c r="E157" s="212"/>
      <c r="F157" s="212"/>
      <c r="G157" s="14" t="str">
        <f>+G6</f>
        <v xml:space="preserve">Schedule Type: </v>
      </c>
      <c r="H157" s="16" t="str">
        <f>+H6</f>
        <v>Base</v>
      </c>
    </row>
    <row r="158" spans="1:8" ht="12.75" customHeight="1" x14ac:dyDescent="0.2">
      <c r="A158" s="11"/>
      <c r="B158" s="206"/>
      <c r="C158" s="206"/>
      <c r="D158" s="206"/>
      <c r="E158" s="206"/>
      <c r="F158" s="206"/>
      <c r="G158" s="14" t="str">
        <f>+G8</f>
        <v>Schedule Letter:</v>
      </c>
      <c r="H158" s="16" t="str">
        <f>+H8</f>
        <v>A</v>
      </c>
    </row>
    <row r="159" spans="1:8" x14ac:dyDescent="0.2">
      <c r="A159" s="7"/>
      <c r="B159" s="7"/>
      <c r="C159" s="7"/>
      <c r="D159" s="8"/>
      <c r="E159" s="8"/>
      <c r="F159" s="9"/>
      <c r="G159" s="14" t="s">
        <v>12</v>
      </c>
      <c r="H159" s="13" t="str">
        <f>+Units</f>
        <v>US CUSTOMARY</v>
      </c>
    </row>
    <row r="160" spans="1:8" ht="6.95" customHeight="1" thickBot="1" x14ac:dyDescent="0.25">
      <c r="A160" s="7"/>
      <c r="B160" s="7"/>
      <c r="C160" s="7"/>
      <c r="D160" s="8"/>
      <c r="E160" s="8"/>
      <c r="F160" s="9"/>
      <c r="G160" s="14"/>
      <c r="H160" s="13"/>
    </row>
    <row r="161" spans="1:8" ht="19.5" customHeight="1" thickBot="1" x14ac:dyDescent="0.25">
      <c r="A161" s="129" t="s">
        <v>90</v>
      </c>
      <c r="B161" s="130"/>
      <c r="C161" s="130"/>
      <c r="D161" s="130"/>
      <c r="E161" s="130"/>
      <c r="F161" s="130"/>
      <c r="G161" s="130"/>
      <c r="H161" s="131"/>
    </row>
    <row r="162" spans="1:8" ht="6" customHeight="1" x14ac:dyDescent="0.2">
      <c r="A162" s="17"/>
      <c r="B162" s="43"/>
      <c r="C162" s="43"/>
      <c r="D162" s="44"/>
      <c r="E162" s="45"/>
      <c r="F162" s="44"/>
      <c r="G162" s="44"/>
      <c r="H162" s="44"/>
    </row>
    <row r="163" spans="1:8" ht="12.75" customHeight="1" x14ac:dyDescent="0.2">
      <c r="A163" s="221" t="str">
        <f>IF(FP="FP-24","Not applicable","Not applicable")</f>
        <v>Not applicable</v>
      </c>
      <c r="B163" s="223"/>
      <c r="C163" s="76" t="s">
        <v>37</v>
      </c>
      <c r="D163" s="77"/>
      <c r="E163" s="71"/>
      <c r="F163" s="75" t="s">
        <v>38</v>
      </c>
      <c r="G163" s="44"/>
      <c r="H163" s="44"/>
    </row>
    <row r="164" spans="1:8" ht="12.75" customHeight="1" x14ac:dyDescent="0.2">
      <c r="A164" s="69"/>
      <c r="B164" s="70"/>
      <c r="C164" s="142"/>
      <c r="D164" s="74"/>
      <c r="E164" s="72"/>
      <c r="F164" s="143" t="str">
        <f>IF(ISNUMBER(D164),+C$164*D164, "-")</f>
        <v>-</v>
      </c>
      <c r="G164" s="79"/>
      <c r="H164" s="44"/>
    </row>
    <row r="165" spans="1:8" ht="12.75" customHeight="1" x14ac:dyDescent="0.2">
      <c r="A165" s="221" t="str">
        <f>IF(FP="FP-24","Not applicable","Not applicable")</f>
        <v>Not applicable</v>
      </c>
      <c r="B165" s="224"/>
      <c r="C165" s="82" t="s">
        <v>37</v>
      </c>
      <c r="D165" s="83"/>
      <c r="E165" s="84"/>
      <c r="F165" s="85" t="s">
        <v>38</v>
      </c>
      <c r="G165" s="79"/>
      <c r="H165" s="44"/>
    </row>
    <row r="166" spans="1:8" ht="12.75" customHeight="1" x14ac:dyDescent="0.2">
      <c r="A166" s="69"/>
      <c r="B166" s="70"/>
      <c r="C166" s="142"/>
      <c r="D166" s="74"/>
      <c r="E166" s="72"/>
      <c r="F166" s="143" t="str">
        <f>IF(ISNUMBER(D166),+C$166*D166, "-")</f>
        <v>-</v>
      </c>
      <c r="G166" s="79"/>
      <c r="H166" s="48"/>
    </row>
    <row r="167" spans="1:8" ht="12.75" customHeight="1" x14ac:dyDescent="0.2">
      <c r="A167" s="67" t="str">
        <f>IF(FP="FP-24","Not applicable","Not applicable")</f>
        <v>Not applicable</v>
      </c>
      <c r="B167" s="68"/>
      <c r="C167" s="76" t="s">
        <v>37</v>
      </c>
      <c r="D167" s="77"/>
      <c r="E167" s="71"/>
      <c r="F167" s="75" t="s">
        <v>38</v>
      </c>
      <c r="G167" s="49"/>
      <c r="H167" s="50"/>
    </row>
    <row r="168" spans="1:8" ht="12.75" customHeight="1" x14ac:dyDescent="0.2">
      <c r="A168" s="97"/>
      <c r="B168" s="89"/>
      <c r="C168" s="219"/>
      <c r="D168" s="98"/>
      <c r="E168" s="99"/>
      <c r="F168" s="137" t="str">
        <f>IF(ISNUMBER(D168),+C$168*D168, "-")</f>
        <v>-</v>
      </c>
      <c r="G168" s="49"/>
      <c r="H168" s="50"/>
    </row>
    <row r="169" spans="1:8" ht="12.75" customHeight="1" x14ac:dyDescent="0.2">
      <c r="A169" s="97"/>
      <c r="B169" s="89"/>
      <c r="C169" s="220"/>
      <c r="D169" s="98"/>
      <c r="E169" s="99"/>
      <c r="F169" s="137" t="str">
        <f>IF(ISNUMBER(D169),+C$168*D169, "-")</f>
        <v>-</v>
      </c>
      <c r="G169" s="49"/>
      <c r="H169" s="50"/>
    </row>
    <row r="170" spans="1:8" ht="12.75" customHeight="1" x14ac:dyDescent="0.2">
      <c r="A170" s="46"/>
      <c r="B170" s="46"/>
      <c r="C170" s="46"/>
      <c r="D170" s="47"/>
      <c r="E170" s="47"/>
      <c r="F170" s="48"/>
      <c r="G170" s="48"/>
      <c r="H170" s="48"/>
    </row>
    <row r="171" spans="1:8" ht="12.75" customHeight="1" x14ac:dyDescent="0.2">
      <c r="A171" s="46"/>
      <c r="B171" s="46"/>
      <c r="C171" s="46"/>
      <c r="D171" s="47"/>
      <c r="E171" s="47"/>
      <c r="F171" s="48"/>
      <c r="G171" s="48"/>
      <c r="H171" s="48"/>
    </row>
    <row r="172" spans="1:8" ht="12.75" customHeight="1" x14ac:dyDescent="0.2">
      <c r="A172" s="46"/>
      <c r="B172" s="46"/>
      <c r="C172" s="46"/>
      <c r="D172" s="47"/>
      <c r="E172" s="47"/>
      <c r="F172" s="48"/>
      <c r="G172" s="48"/>
      <c r="H172" s="48"/>
    </row>
    <row r="173" spans="1:8" ht="12.75" customHeight="1" x14ac:dyDescent="0.2">
      <c r="A173" s="46"/>
      <c r="B173" s="46"/>
      <c r="C173" s="46"/>
      <c r="D173" s="47"/>
      <c r="E173" s="47"/>
      <c r="F173" s="48"/>
      <c r="G173" s="48"/>
      <c r="H173" s="48"/>
    </row>
    <row r="174" spans="1:8" ht="12.75" customHeight="1" x14ac:dyDescent="0.2">
      <c r="A174" s="107"/>
      <c r="B174" s="114"/>
      <c r="C174" s="115"/>
      <c r="D174" s="116" t="s">
        <v>91</v>
      </c>
      <c r="E174" s="115"/>
      <c r="F174" s="117">
        <f>SUM(F90:F137)+SUM(F163:F169)</f>
        <v>0</v>
      </c>
      <c r="G174" s="17"/>
      <c r="H174" s="17"/>
    </row>
    <row r="175" spans="1:8" ht="12.75" customHeight="1" x14ac:dyDescent="0.2">
      <c r="A175" s="17"/>
      <c r="B175" s="118"/>
      <c r="C175" s="43"/>
      <c r="D175" s="45"/>
      <c r="E175" s="45"/>
      <c r="F175" s="119"/>
      <c r="G175" s="44"/>
      <c r="H175" s="44"/>
    </row>
    <row r="176" spans="1:8" ht="12.75" customHeight="1" x14ac:dyDescent="0.2">
      <c r="A176" s="17"/>
      <c r="B176" s="120"/>
      <c r="C176" s="46"/>
      <c r="D176" s="109" t="s">
        <v>92</v>
      </c>
      <c r="E176" s="51"/>
      <c r="F176" s="149"/>
      <c r="G176" s="44"/>
      <c r="H176" s="44"/>
    </row>
    <row r="177" spans="1:8" ht="12.75" customHeight="1" x14ac:dyDescent="0.2">
      <c r="A177" s="17"/>
      <c r="B177" s="121"/>
      <c r="C177" s="46"/>
      <c r="D177" s="113"/>
      <c r="E177" s="51"/>
      <c r="F177" s="119"/>
      <c r="G177" s="44"/>
      <c r="H177" s="44"/>
    </row>
    <row r="178" spans="1:8" ht="12.75" customHeight="1" x14ac:dyDescent="0.2">
      <c r="A178" s="17"/>
      <c r="B178" s="121"/>
      <c r="C178" s="46"/>
      <c r="D178" s="109" t="s">
        <v>93</v>
      </c>
      <c r="E178" s="51"/>
      <c r="F178" s="122" t="str">
        <f>IF(F176&lt;&gt;"",F176*1.6,"-")</f>
        <v>-</v>
      </c>
      <c r="G178" s="44"/>
      <c r="H178" s="44"/>
    </row>
    <row r="179" spans="1:8" ht="12.75" customHeight="1" x14ac:dyDescent="0.2">
      <c r="A179" s="17"/>
      <c r="B179" s="121"/>
      <c r="C179" s="46"/>
      <c r="D179" s="113"/>
      <c r="E179" s="51"/>
      <c r="F179" s="119"/>
      <c r="G179" s="44"/>
      <c r="H179" s="44"/>
    </row>
    <row r="180" spans="1:8" ht="12.75" customHeight="1" x14ac:dyDescent="0.2">
      <c r="A180" s="46"/>
      <c r="B180" s="121"/>
      <c r="C180" s="46"/>
      <c r="D180" s="110" t="s">
        <v>94</v>
      </c>
      <c r="E180" s="47"/>
      <c r="F180" s="123" t="str">
        <f>IF(F174&lt;&gt;0,(1.6-1.1)*(F174*F176),"-")</f>
        <v>-</v>
      </c>
      <c r="G180" s="48"/>
      <c r="H180" s="48"/>
    </row>
    <row r="181" spans="1:8" ht="12.75" customHeight="1" x14ac:dyDescent="0.2">
      <c r="A181" s="46"/>
      <c r="B181" s="121"/>
      <c r="C181" s="46"/>
      <c r="D181" s="47"/>
      <c r="E181" s="47"/>
      <c r="F181" s="119"/>
      <c r="G181" s="52"/>
      <c r="H181" s="53"/>
    </row>
    <row r="182" spans="1:8" ht="12.75" customHeight="1" x14ac:dyDescent="0.2">
      <c r="A182" s="46"/>
      <c r="B182" s="121"/>
      <c r="C182" s="46"/>
      <c r="D182" s="110" t="s">
        <v>95</v>
      </c>
      <c r="E182" s="47"/>
      <c r="F182" s="150"/>
      <c r="G182" s="52"/>
      <c r="H182" s="53"/>
    </row>
    <row r="183" spans="1:8" ht="12.75" customHeight="1" x14ac:dyDescent="0.2">
      <c r="A183" s="46"/>
      <c r="B183" s="121"/>
      <c r="C183" s="46"/>
      <c r="D183" s="47"/>
      <c r="E183" s="47"/>
      <c r="F183" s="119"/>
      <c r="G183" s="52"/>
      <c r="H183" s="53"/>
    </row>
    <row r="184" spans="1:8" ht="12.75" customHeight="1" x14ac:dyDescent="0.2">
      <c r="A184" s="46"/>
      <c r="B184" s="124"/>
      <c r="C184" s="125"/>
      <c r="D184" s="126" t="s">
        <v>96</v>
      </c>
      <c r="E184" s="127"/>
      <c r="F184" s="128" t="str">
        <f>IF(F182&lt;&gt;"",(F180*F182)/100,"$0.00")</f>
        <v>$0.00</v>
      </c>
      <c r="G184" s="52"/>
      <c r="H184" s="53"/>
    </row>
    <row r="185" spans="1:8" x14ac:dyDescent="0.2">
      <c r="A185" s="46"/>
      <c r="B185" s="46"/>
      <c r="C185" s="46"/>
      <c r="D185" s="111"/>
      <c r="E185" s="47"/>
      <c r="F185" s="112"/>
      <c r="G185" s="52"/>
      <c r="H185" s="53"/>
    </row>
    <row r="186" spans="1:8" x14ac:dyDescent="0.2">
      <c r="A186" s="46"/>
      <c r="B186" s="46"/>
      <c r="C186" s="46"/>
      <c r="D186" s="111"/>
      <c r="E186" s="47"/>
      <c r="F186" s="112"/>
      <c r="G186" s="52"/>
      <c r="H186" s="53"/>
    </row>
    <row r="187" spans="1:8" x14ac:dyDescent="0.2">
      <c r="A187" s="46"/>
      <c r="B187" s="46"/>
      <c r="C187" s="46"/>
      <c r="D187" s="47"/>
      <c r="E187" s="47"/>
      <c r="F187" s="48"/>
      <c r="G187" s="52"/>
      <c r="H187" s="53"/>
    </row>
    <row r="188" spans="1:8" ht="13.5" thickBot="1" x14ac:dyDescent="0.25">
      <c r="A188" s="7"/>
      <c r="B188" s="7"/>
      <c r="C188" s="7"/>
      <c r="D188" s="8"/>
      <c r="E188" s="8"/>
      <c r="F188" s="9"/>
      <c r="G188" s="14"/>
      <c r="H188" s="13"/>
    </row>
    <row r="189" spans="1:8" ht="19.5" customHeight="1" thickBot="1" x14ac:dyDescent="0.25">
      <c r="A189" s="132" t="s">
        <v>97</v>
      </c>
      <c r="B189" s="133"/>
      <c r="C189" s="133"/>
      <c r="D189" s="133"/>
      <c r="E189" s="133"/>
      <c r="F189" s="133"/>
      <c r="G189" s="133"/>
      <c r="H189" s="134"/>
    </row>
    <row r="190" spans="1:8" x14ac:dyDescent="0.2">
      <c r="A190" s="17"/>
      <c r="B190" s="43"/>
      <c r="C190" s="43"/>
      <c r="D190" s="44"/>
      <c r="E190" s="45"/>
      <c r="F190" s="44"/>
      <c r="G190" s="44"/>
      <c r="H190" s="44"/>
    </row>
    <row r="191" spans="1:8" x14ac:dyDescent="0.2">
      <c r="A191" s="46"/>
      <c r="B191" s="114"/>
      <c r="C191" s="115"/>
      <c r="D191" s="116" t="s">
        <v>98</v>
      </c>
      <c r="E191" s="115"/>
      <c r="F191" s="151"/>
      <c r="G191" s="52"/>
      <c r="H191" s="53"/>
    </row>
    <row r="192" spans="1:8" x14ac:dyDescent="0.2">
      <c r="A192" s="46"/>
      <c r="B192" s="118"/>
      <c r="C192" s="43"/>
      <c r="D192" s="45"/>
      <c r="E192" s="45"/>
      <c r="F192" s="119"/>
      <c r="G192" s="52"/>
      <c r="H192" s="53"/>
    </row>
    <row r="193" spans="1:8" x14ac:dyDescent="0.2">
      <c r="A193" s="46"/>
      <c r="B193" s="120"/>
      <c r="C193" s="46"/>
      <c r="D193" s="109" t="s">
        <v>99</v>
      </c>
      <c r="E193" s="51"/>
      <c r="F193" s="149"/>
      <c r="G193" s="52"/>
      <c r="H193" s="53"/>
    </row>
    <row r="194" spans="1:8" x14ac:dyDescent="0.2">
      <c r="A194" s="46"/>
      <c r="B194" s="121"/>
      <c r="C194" s="46"/>
      <c r="D194" s="113"/>
      <c r="E194" s="51"/>
      <c r="F194" s="119"/>
      <c r="G194" s="52"/>
      <c r="H194" s="53"/>
    </row>
    <row r="195" spans="1:8" x14ac:dyDescent="0.2">
      <c r="A195" s="46"/>
      <c r="B195" s="121"/>
      <c r="C195" s="46"/>
      <c r="D195" s="109" t="s">
        <v>93</v>
      </c>
      <c r="E195" s="51"/>
      <c r="F195" s="122" t="str">
        <f>IF(F193&lt;&gt;"",F193*1.6,"-")</f>
        <v>-</v>
      </c>
      <c r="G195" s="52"/>
      <c r="H195" s="53"/>
    </row>
    <row r="196" spans="1:8" x14ac:dyDescent="0.2">
      <c r="A196" s="46"/>
      <c r="B196" s="121"/>
      <c r="C196" s="46"/>
      <c r="D196" s="113"/>
      <c r="E196" s="51"/>
      <c r="F196" s="119"/>
      <c r="G196" s="52"/>
      <c r="H196" s="53"/>
    </row>
    <row r="197" spans="1:8" x14ac:dyDescent="0.2">
      <c r="A197" s="46"/>
      <c r="B197" s="121"/>
      <c r="C197" s="46"/>
      <c r="D197" s="110" t="s">
        <v>100</v>
      </c>
      <c r="E197" s="47"/>
      <c r="F197" s="123" t="str">
        <f>IF(F191&lt;&gt;0,(1.6-1.1)*(F193)*(F191*0.06),"-")</f>
        <v>-</v>
      </c>
      <c r="G197" s="52"/>
      <c r="H197" s="53"/>
    </row>
    <row r="198" spans="1:8" x14ac:dyDescent="0.2">
      <c r="A198" s="46"/>
      <c r="B198" s="121"/>
      <c r="C198" s="46"/>
      <c r="D198" s="47"/>
      <c r="E198" s="47"/>
      <c r="F198" s="119"/>
      <c r="G198" s="52"/>
      <c r="H198" s="53"/>
    </row>
    <row r="199" spans="1:8" x14ac:dyDescent="0.2">
      <c r="A199" s="46"/>
      <c r="B199" s="121"/>
      <c r="C199" s="46"/>
      <c r="D199" s="110" t="s">
        <v>95</v>
      </c>
      <c r="E199" s="47"/>
      <c r="F199" s="150"/>
      <c r="G199" s="52"/>
      <c r="H199" s="53"/>
    </row>
    <row r="200" spans="1:8" x14ac:dyDescent="0.2">
      <c r="A200" s="46"/>
      <c r="B200" s="121"/>
      <c r="C200" s="46"/>
      <c r="D200" s="47"/>
      <c r="E200" s="47"/>
      <c r="F200" s="119"/>
      <c r="G200" s="52"/>
      <c r="H200" s="53"/>
    </row>
    <row r="201" spans="1:8" x14ac:dyDescent="0.2">
      <c r="A201" s="46"/>
      <c r="B201" s="124"/>
      <c r="C201" s="125"/>
      <c r="D201" s="126" t="s">
        <v>101</v>
      </c>
      <c r="E201" s="127"/>
      <c r="F201" s="128" t="str">
        <f>IF(F199&lt;&gt;"",(F197*F199)/100,"$0.00")</f>
        <v>$0.00</v>
      </c>
      <c r="G201" s="48"/>
      <c r="H201" s="48"/>
    </row>
    <row r="202" spans="1:8" x14ac:dyDescent="0.2">
      <c r="A202" s="46"/>
      <c r="B202" s="46"/>
      <c r="C202" s="46"/>
      <c r="D202" s="47"/>
      <c r="E202" s="47"/>
      <c r="F202" s="48"/>
      <c r="G202" s="48"/>
      <c r="H202" s="48"/>
    </row>
    <row r="203" spans="1:8" x14ac:dyDescent="0.2">
      <c r="A203" s="54"/>
      <c r="B203" s="55"/>
      <c r="C203" s="55"/>
      <c r="D203" s="47"/>
      <c r="E203" s="47"/>
      <c r="F203" s="48"/>
      <c r="G203" s="48"/>
      <c r="H203" s="48"/>
    </row>
    <row r="204" spans="1:8" x14ac:dyDescent="0.2">
      <c r="A204" s="55"/>
      <c r="B204" s="55"/>
      <c r="C204" s="55"/>
      <c r="D204" s="47"/>
      <c r="E204" s="47"/>
      <c r="F204" s="48"/>
      <c r="G204" s="48"/>
      <c r="H204" s="48"/>
    </row>
    <row r="205" spans="1:8" x14ac:dyDescent="0.2">
      <c r="A205" s="55"/>
      <c r="B205" s="55"/>
      <c r="C205" s="55"/>
      <c r="D205" s="47"/>
      <c r="E205" s="47"/>
      <c r="F205" s="48"/>
      <c r="G205" s="48"/>
      <c r="H205" s="48"/>
    </row>
    <row r="206" spans="1:8" x14ac:dyDescent="0.2">
      <c r="A206" s="54"/>
      <c r="B206" s="55"/>
      <c r="C206" s="55"/>
      <c r="D206" s="47"/>
      <c r="E206" s="47"/>
      <c r="F206" s="48"/>
      <c r="G206" s="48"/>
      <c r="H206" s="48"/>
    </row>
    <row r="207" spans="1:8" x14ac:dyDescent="0.2">
      <c r="A207" s="55"/>
      <c r="B207" s="55"/>
      <c r="C207" s="55"/>
      <c r="D207" s="47"/>
      <c r="E207" s="47"/>
      <c r="F207" s="48"/>
      <c r="G207" s="48"/>
      <c r="H207" s="48"/>
    </row>
    <row r="208" spans="1:8" x14ac:dyDescent="0.2">
      <c r="A208" s="55"/>
      <c r="B208" s="55"/>
      <c r="C208" s="55"/>
      <c r="D208" s="47"/>
      <c r="E208" s="47"/>
      <c r="F208" s="48"/>
      <c r="G208" s="48"/>
      <c r="H208" s="48"/>
    </row>
    <row r="209" spans="1:8" x14ac:dyDescent="0.2">
      <c r="A209" s="54"/>
      <c r="B209" s="55"/>
      <c r="C209" s="55"/>
      <c r="D209" s="47"/>
      <c r="E209" s="47"/>
      <c r="F209" s="48"/>
      <c r="G209" s="48"/>
      <c r="H209" s="48"/>
    </row>
  </sheetData>
  <sheetProtection sheet="1" objects="1" scenarios="1"/>
  <dataConsolidate/>
  <mergeCells count="26">
    <mergeCell ref="C134:C135"/>
    <mergeCell ref="A136:B136"/>
    <mergeCell ref="C168:C169"/>
    <mergeCell ref="A163:B163"/>
    <mergeCell ref="A152:H152"/>
    <mergeCell ref="B157:F157"/>
    <mergeCell ref="A165:B165"/>
    <mergeCell ref="A133:B133"/>
    <mergeCell ref="C91:C100"/>
    <mergeCell ref="C102:C110"/>
    <mergeCell ref="C115:C118"/>
    <mergeCell ref="C112:C113"/>
    <mergeCell ref="C120:C122"/>
    <mergeCell ref="C124:C125"/>
    <mergeCell ref="C127:C129"/>
    <mergeCell ref="C131:C132"/>
    <mergeCell ref="A57:H57"/>
    <mergeCell ref="A52:G52"/>
    <mergeCell ref="A79:H79"/>
    <mergeCell ref="B84:F84"/>
    <mergeCell ref="A65:G65"/>
    <mergeCell ref="A42:H42"/>
    <mergeCell ref="A1:H1"/>
    <mergeCell ref="B6:F6"/>
    <mergeCell ref="A12:H12"/>
    <mergeCell ref="A30:H30"/>
  </mergeCells>
  <dataValidations xWindow="221" yWindow="332" count="14">
    <dataValidation type="list" showInputMessage="1" showErrorMessage="1" error="Please use drop-down menu to select a schedule letter" promptTitle="Choose Letter" prompt="If you need more than six schedules, then copy addtional sheet tabs and calculate incentives separately for each schedule._x000a__x000a_Sheets tabs can be copied by left clicking the active tab, choosing 'Move or Copy', then clicking the 'Create Copy' checkbox.  " sqref="H8" xr:uid="{00000000-0002-0000-0000-000000000000}">
      <formula1>"  , A, B, C, D, E, F, G, W, X, Y, Z"</formula1>
    </dataValidation>
    <dataValidation type="list" allowBlank="1" showInputMessage="1" showErrorMessage="1" error="Please use the drop-down menu to select the project units" promptTitle="Select Units" prompt="Select Metric or US Customary" sqref="H10" xr:uid="{00000000-0002-0000-0000-000001000000}">
      <formula1>"METRIC, US CUSTOMARY"</formula1>
    </dataValidation>
    <dataValidation type="whole" operator="greaterThanOrEqual" allowBlank="1" showInputMessage="1" showErrorMessage="1" error="Bid decimals set to zero._x000a__x000a_Contact Steve Chapman (X7801)_x000a_                   or_x000a_    Greg Kwock (X7987)_x000a__x000a_to modify Incentive Spreadsheet." sqref="D138:D151 D41 D50" xr:uid="{00000000-0002-0000-0000-000002000000}">
      <formula1>0</formula1>
    </dataValidation>
    <dataValidation type="list" allowBlank="1" showInputMessage="1" showErrorMessage="1" error="Please use the drop-down menu to select the FP version" promptTitle="Select FP Version" prompt="Select FP-24 or FP-14" sqref="D2" xr:uid="{00000000-0002-0000-0000-000003000000}">
      <formula1>" , FP-24, FP-14"</formula1>
    </dataValidation>
    <dataValidation allowBlank="1" showInputMessage="1" showErrorMessage="1" promptTitle="Enter project number" prompt="Example:  CA FTNP JOTR 11(5)" sqref="B4:C4" xr:uid="{00000000-0002-0000-0000-000004000000}"/>
    <dataValidation allowBlank="1" showInputMessage="1" showErrorMessage="1" promptTitle="Enter project name" prompt="Example:  Pinto Basin Road" sqref="B6:F8" xr:uid="{00000000-0002-0000-0000-000005000000}"/>
    <dataValidation allowBlank="1" sqref="B82:C82 B155:C155" xr:uid="{00000000-0002-0000-0000-000006000000}"/>
    <dataValidation allowBlank="1" showErrorMessage="1" sqref="B94" xr:uid="{00000000-0002-0000-0000-000007000000}"/>
    <dataValidation type="whole" operator="greaterThanOrEqual" allowBlank="1" showInputMessage="1" showErrorMessage="1" error="Bid decimals set to zero._x000a__x000a_Contact Heidi Hirsbrunner (X3622)_x000a_                _x000a_to modify Incentive Spreadsheet." sqref="D15 D17 D35:D40 D19 D21 D23 D27 D29 D33 D47:D49 D45 D25" xr:uid="{00000000-0002-0000-0000-000008000000}">
      <formula1>0</formula1>
    </dataValidation>
    <dataValidation type="whole" operator="greaterThanOrEqual" allowBlank="1" showInputMessage="1" showErrorMessage="1" error="Bid decimals set to zero._x000a__x000a_Contact Heidi Hirsbrunner (X3622)_x000a_                   _x000a_to modify Incentive Spreadsheet." sqref="D91:D100 D115:D118" xr:uid="{00000000-0002-0000-0000-000009000000}">
      <formula1>0</formula1>
    </dataValidation>
    <dataValidation type="whole" operator="greaterThanOrEqual" allowBlank="1" showInputMessage="1" showErrorMessage="1" error="Bid decimals set to zero._x000a__x000a_Contact Heidi Hirsbrunner (X3622) _x000a__x000a_to modify Incentive Spreadsheet." sqref="D102:D110" xr:uid="{00000000-0002-0000-0000-00000A000000}">
      <formula1>0</formula1>
    </dataValidation>
    <dataValidation type="whole" operator="greaterThanOrEqual" allowBlank="1" showInputMessage="1" showErrorMessage="1" error="Bid decimals set to zero._x000a__x000a_Contact Heidi Hirsbrunner (X3622)_x000a_                 _x000a_to modify Incentive Spreadsheet." sqref="D112:D113" xr:uid="{00000000-0002-0000-0000-00000B000000}">
      <formula1>0</formula1>
    </dataValidation>
    <dataValidation type="whole" operator="greaterThanOrEqual" allowBlank="1" showInputMessage="1" showErrorMessage="1" error="Bid decimals set to zero._x000a__x000a_Contact Heidi Hirsbrunner (X3622)_x000a__x000a_to modify Incentive Spreadsheet." sqref="D120:D122 D124:D125 D127:D129 D131:D132 D134:D135 D137 D164 D166 D168:D169" xr:uid="{00000000-0002-0000-0000-00000C000000}">
      <formula1>0</formula1>
    </dataValidation>
    <dataValidation type="list" allowBlank="1" showInputMessage="1" showErrorMessage="1" promptTitle="Select Schedule Type" prompt="Select Base, Option, or Alternate" sqref="H6" xr:uid="{D7AB5836-2E94-478C-B9C2-CD29892810D7}">
      <formula1>", Base, Option, Alternate"</formula1>
    </dataValidation>
  </dataValidations>
  <printOptions horizontalCentered="1"/>
  <pageMargins left="0.45" right="0.45" top="0.6" bottom="0.25" header="0" footer="0.05"/>
  <pageSetup scale="81" fitToHeight="2" orientation="portrait" r:id="rId1"/>
  <headerFooter>
    <oddFooter>&amp;RRev. 04-23-2024</oddFooter>
  </headerFooter>
  <rowBreaks count="1" manualBreakCount="1">
    <brk id="78" max="7" man="1"/>
  </rowBreaks>
  <ignoredErrors>
    <ignoredError sqref="A112:A113 A115:A118 A124:A125 A127:A129 A131:A132 A134:A135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09B0-01D1-4D9B-B221-A8F9BF602969}">
  <dimension ref="A1:K209"/>
  <sheetViews>
    <sheetView workbookViewId="0">
      <selection sqref="A1:H1"/>
    </sheetView>
  </sheetViews>
  <sheetFormatPr defaultColWidth="9.140625" defaultRowHeight="12.75" x14ac:dyDescent="0.2"/>
  <cols>
    <col min="1" max="1" width="14.140625" style="6" bestFit="1" customWidth="1"/>
    <col min="2" max="2" width="31.7109375" style="6" customWidth="1"/>
    <col min="3" max="3" width="6.140625" style="6" customWidth="1"/>
    <col min="4" max="4" width="14.140625" style="37" customWidth="1"/>
    <col min="5" max="5" width="1.7109375" style="37" customWidth="1"/>
    <col min="6" max="6" width="12.42578125" style="38" customWidth="1"/>
    <col min="7" max="7" width="14.42578125" style="38" customWidth="1"/>
    <col min="8" max="8" width="16.7109375" style="38" bestFit="1" customWidth="1"/>
    <col min="9" max="16384" width="9.140625" style="6"/>
  </cols>
  <sheetData>
    <row r="1" spans="1:8" ht="18" x14ac:dyDescent="0.25">
      <c r="A1" s="208" t="s">
        <v>0</v>
      </c>
      <c r="B1" s="208"/>
      <c r="C1" s="208"/>
      <c r="D1" s="208"/>
      <c r="E1" s="208"/>
      <c r="F1" s="208"/>
      <c r="G1" s="208"/>
      <c r="H1" s="208"/>
    </row>
    <row r="2" spans="1:8" ht="15" x14ac:dyDescent="0.2">
      <c r="A2" s="7"/>
      <c r="B2" s="7"/>
      <c r="C2" s="11" t="s">
        <v>1</v>
      </c>
      <c r="D2" s="205" t="str">
        <f>+Sheet1!D2</f>
        <v>FP-24</v>
      </c>
      <c r="E2" s="8"/>
      <c r="F2" s="9"/>
      <c r="G2" s="9"/>
      <c r="H2" s="9"/>
    </row>
    <row r="3" spans="1:8" x14ac:dyDescent="0.2">
      <c r="A3" s="7"/>
      <c r="B3" s="7"/>
      <c r="C3" s="7"/>
      <c r="D3" s="10"/>
      <c r="E3" s="8"/>
      <c r="F3" s="9"/>
      <c r="G3" s="9"/>
      <c r="H3" s="9"/>
    </row>
    <row r="4" spans="1:8" x14ac:dyDescent="0.2">
      <c r="A4" s="11" t="s">
        <v>3</v>
      </c>
      <c r="B4" s="206" t="str">
        <f>+Sheet1!B4</f>
        <v>AZ Heidi Test(1)</v>
      </c>
      <c r="C4" s="206"/>
      <c r="D4" s="12"/>
      <c r="E4" s="12"/>
      <c r="F4" s="13"/>
      <c r="G4" s="14" t="s">
        <v>5</v>
      </c>
      <c r="H4" s="15">
        <f ca="1" xml:space="preserve"> TODAY()</f>
        <v>45532</v>
      </c>
    </row>
    <row r="5" spans="1:8" ht="6" customHeight="1" x14ac:dyDescent="0.2">
      <c r="A5" s="11"/>
      <c r="B5" s="206"/>
      <c r="C5" s="206"/>
      <c r="D5" s="12"/>
      <c r="E5" s="12"/>
      <c r="F5" s="13"/>
      <c r="G5" s="14"/>
      <c r="H5" s="15"/>
    </row>
    <row r="6" spans="1:8" ht="15" x14ac:dyDescent="0.2">
      <c r="A6" s="11" t="s">
        <v>6</v>
      </c>
      <c r="B6" s="212" t="str">
        <f>+Sheet1!B6</f>
        <v>Heidi National Park</v>
      </c>
      <c r="C6" s="212">
        <f>+Sheet1!C6</f>
        <v>0</v>
      </c>
      <c r="D6" s="212">
        <f>+Sheet1!D6</f>
        <v>0</v>
      </c>
      <c r="E6" s="212">
        <f>+Sheet1!E6</f>
        <v>0</v>
      </c>
      <c r="F6" s="212">
        <f>+Sheet1!F6</f>
        <v>0</v>
      </c>
      <c r="G6" s="153" t="s">
        <v>8</v>
      </c>
      <c r="H6" s="1" t="s">
        <v>9</v>
      </c>
    </row>
    <row r="7" spans="1:8" ht="5.25" customHeight="1" x14ac:dyDescent="0.2">
      <c r="A7" s="11"/>
      <c r="B7" s="206"/>
      <c r="C7" s="206"/>
      <c r="D7" s="206"/>
      <c r="E7" s="206"/>
      <c r="F7" s="206"/>
      <c r="G7" s="14"/>
      <c r="H7" s="16"/>
    </row>
    <row r="8" spans="1:8" ht="12.75" customHeight="1" x14ac:dyDescent="0.2">
      <c r="A8" s="11"/>
      <c r="B8" s="206"/>
      <c r="C8" s="206"/>
      <c r="D8" s="206"/>
      <c r="E8" s="206"/>
      <c r="F8" s="206"/>
      <c r="G8" s="14" t="s">
        <v>10</v>
      </c>
      <c r="H8" s="204" t="s">
        <v>102</v>
      </c>
    </row>
    <row r="9" spans="1:8" ht="6" customHeight="1" x14ac:dyDescent="0.2">
      <c r="A9" s="11"/>
      <c r="B9" s="206"/>
      <c r="C9" s="206"/>
      <c r="D9" s="206"/>
      <c r="E9" s="206"/>
      <c r="F9" s="206"/>
      <c r="G9" s="14"/>
      <c r="H9" s="16"/>
    </row>
    <row r="10" spans="1:8" ht="15" x14ac:dyDescent="0.2">
      <c r="A10" s="7"/>
      <c r="B10" s="7"/>
      <c r="C10" s="7"/>
      <c r="D10" s="8"/>
      <c r="E10" s="8"/>
      <c r="F10" s="9"/>
      <c r="G10" s="14" t="s">
        <v>12</v>
      </c>
      <c r="H10" s="205" t="str">
        <f>+Sheet1!H10</f>
        <v>US CUSTOMARY</v>
      </c>
    </row>
    <row r="11" spans="1:8" ht="13.5" thickBot="1" x14ac:dyDescent="0.25">
      <c r="A11" s="7"/>
      <c r="B11" s="7"/>
      <c r="C11" s="7"/>
      <c r="D11" s="8"/>
      <c r="E11" s="8"/>
      <c r="F11" s="9"/>
      <c r="G11" s="14"/>
      <c r="H11" s="13"/>
    </row>
    <row r="12" spans="1:8" ht="18.75" customHeight="1" thickBot="1" x14ac:dyDescent="0.25">
      <c r="A12" s="207" t="s">
        <v>14</v>
      </c>
      <c r="B12" s="207"/>
      <c r="C12" s="207"/>
      <c r="D12" s="207"/>
      <c r="E12" s="207"/>
      <c r="F12" s="207"/>
      <c r="G12" s="207"/>
      <c r="H12" s="207"/>
    </row>
    <row r="13" spans="1:8" x14ac:dyDescent="0.2">
      <c r="A13" s="17" t="s">
        <v>15</v>
      </c>
      <c r="B13" s="17"/>
      <c r="C13" s="17"/>
      <c r="D13" s="17" t="s">
        <v>16</v>
      </c>
      <c r="E13" s="17"/>
      <c r="F13" s="17"/>
      <c r="G13" s="17"/>
      <c r="H13" s="17"/>
    </row>
    <row r="14" spans="1:8" ht="13.5" thickBot="1" x14ac:dyDescent="0.25">
      <c r="A14" s="18" t="s">
        <v>17</v>
      </c>
      <c r="B14" s="19" t="s">
        <v>18</v>
      </c>
      <c r="C14" s="19"/>
      <c r="D14" s="20" t="str">
        <f>IF(Units="US CUSTOMARY"," (Ton or SY)"," (tonnes or m2)")</f>
        <v xml:space="preserve"> (Ton or SY)</v>
      </c>
      <c r="E14" s="21"/>
      <c r="F14" s="20" t="s">
        <v>19</v>
      </c>
      <c r="G14" s="20" t="str">
        <f>"Q_"&amp;IF(Units="US CUSTOMARY","Ton","t")&amp;" Unit Price"</f>
        <v>Q_Ton Unit Price</v>
      </c>
      <c r="H14" s="20" t="s">
        <v>20</v>
      </c>
    </row>
    <row r="15" spans="1:8" ht="13.5" thickTop="1" x14ac:dyDescent="0.2">
      <c r="A15" s="22" t="str">
        <f>IF(FP="FP-24","301","301")</f>
        <v>301</v>
      </c>
      <c r="B15" s="23" t="str">
        <f>IF(FP="FP-03","Untreated Aggregate Courses","Untreated Aggregate Courses")</f>
        <v>Untreated Aggregate Courses</v>
      </c>
      <c r="C15" s="23"/>
      <c r="D15" s="3"/>
      <c r="E15" s="144"/>
      <c r="F15" s="4"/>
      <c r="G15" s="25" t="str">
        <f>IF(ISNUMBER(F15),ROUND(F15*0.05,2),"-")</f>
        <v>-</v>
      </c>
      <c r="H15" s="25" t="str">
        <f>IF(AND(ISNUMBER(D15),ISNUMBER(F15)),D15*G15,"-")</f>
        <v>-</v>
      </c>
    </row>
    <row r="16" spans="1:8" ht="6" customHeight="1" x14ac:dyDescent="0.2">
      <c r="A16" s="22"/>
      <c r="B16" s="23"/>
      <c r="C16" s="23"/>
      <c r="D16" s="144"/>
      <c r="E16" s="144"/>
      <c r="F16" s="145"/>
      <c r="G16" s="25"/>
      <c r="H16" s="25"/>
    </row>
    <row r="17" spans="1:11" x14ac:dyDescent="0.2">
      <c r="A17" s="22" t="str">
        <f>IF(FP="FP-24","308","309")</f>
        <v>308</v>
      </c>
      <c r="B17" s="23" t="str">
        <f>IF(FP="FP-24","Emulsified Asphalt-Treated Base Course","Emulsified Asphalt-Treated Base Course")</f>
        <v>Emulsified Asphalt-Treated Base Course</v>
      </c>
      <c r="C17" s="23"/>
      <c r="D17" s="3"/>
      <c r="E17" s="144"/>
      <c r="F17" s="4"/>
      <c r="G17" s="25" t="str">
        <f>IF(ISNUMBER(F17),ROUND(F17*0.05,2),"-")</f>
        <v>-</v>
      </c>
      <c r="H17" s="25" t="str">
        <f>IF(AND(ISNUMBER(D17),ISNUMBER(F17)),D17*G17,"-")</f>
        <v>-</v>
      </c>
    </row>
    <row r="18" spans="1:11" ht="6" customHeight="1" x14ac:dyDescent="0.2">
      <c r="A18" s="22"/>
      <c r="B18" s="23"/>
      <c r="C18" s="23"/>
      <c r="D18" s="144"/>
      <c r="E18" s="144"/>
      <c r="F18" s="145"/>
      <c r="G18" s="25"/>
      <c r="H18" s="25"/>
    </row>
    <row r="19" spans="1:11" x14ac:dyDescent="0.2">
      <c r="A19" s="22" t="str">
        <f>IF(FP="FP-24","311","311")</f>
        <v>311</v>
      </c>
      <c r="B19" s="23" t="str">
        <f>IF(FP="FP-03","Aggregate Stabiliation","Stabilized Aggregate Surface Course")</f>
        <v>Stabilized Aggregate Surface Course</v>
      </c>
      <c r="C19" s="23"/>
      <c r="D19" s="3"/>
      <c r="E19" s="144"/>
      <c r="F19" s="4"/>
      <c r="G19" s="25" t="str">
        <f t="shared" ref="G19:G25" si="0">IF(ISNUMBER(F19),ROUND(F19*0.05,2),"-")</f>
        <v>-</v>
      </c>
      <c r="H19" s="25" t="str">
        <f>IF(AND(ISNUMBER(D19),ISNUMBER(F19)),D19*G19,"-")</f>
        <v>-</v>
      </c>
    </row>
    <row r="20" spans="1:11" ht="6" customHeight="1" x14ac:dyDescent="0.2">
      <c r="A20" s="22"/>
      <c r="B20" s="23"/>
      <c r="C20" s="23"/>
      <c r="D20" s="144"/>
      <c r="E20" s="144"/>
      <c r="F20" s="145"/>
      <c r="G20" s="25"/>
      <c r="H20" s="25"/>
    </row>
    <row r="21" spans="1:11" x14ac:dyDescent="0.2">
      <c r="A21" s="22" t="str">
        <f>IF(FP="FP-24","405","405")</f>
        <v>405</v>
      </c>
      <c r="B21" s="23" t="str">
        <f>IF(FP="FP-24","Open-Graded Asphalt Friction Course","Open-Graded Asphalt Friction Course")</f>
        <v>Open-Graded Asphalt Friction Course</v>
      </c>
      <c r="C21" s="23"/>
      <c r="D21" s="3"/>
      <c r="E21" s="144"/>
      <c r="F21" s="4"/>
      <c r="G21" s="25" t="str">
        <f t="shared" si="0"/>
        <v>-</v>
      </c>
      <c r="H21" s="25" t="str">
        <f>IF(AND(ISNUMBER(D21),ISNUMBER(F21)),D21*G21,"-")</f>
        <v>-</v>
      </c>
    </row>
    <row r="22" spans="1:11" ht="6" customHeight="1" x14ac:dyDescent="0.2">
      <c r="A22" s="22"/>
      <c r="B22" s="23"/>
      <c r="C22" s="23"/>
      <c r="D22" s="144"/>
      <c r="E22" s="144"/>
      <c r="F22" s="145"/>
      <c r="G22" s="25"/>
      <c r="H22" s="25"/>
    </row>
    <row r="23" spans="1:11" x14ac:dyDescent="0.2">
      <c r="A23" s="22" t="str">
        <f>IF(FP="FP-24","407","407")</f>
        <v>407</v>
      </c>
      <c r="B23" s="23" t="str">
        <f>IF(FP="FP-24","Chip Seal","Chip Seal")</f>
        <v>Chip Seal</v>
      </c>
      <c r="C23" s="23"/>
      <c r="D23" s="3"/>
      <c r="E23" s="144"/>
      <c r="F23" s="4"/>
      <c r="G23" s="25" t="str">
        <f t="shared" si="0"/>
        <v>-</v>
      </c>
      <c r="H23" s="25" t="str">
        <f>IF(AND(ISNUMBER(D23),ISNUMBER(F23)),D23*G23,"-")</f>
        <v>-</v>
      </c>
    </row>
    <row r="24" spans="1:11" ht="6" customHeight="1" x14ac:dyDescent="0.2">
      <c r="A24" s="22"/>
      <c r="B24" s="23"/>
      <c r="C24" s="23"/>
      <c r="D24" s="144"/>
      <c r="E24" s="144"/>
      <c r="F24" s="145"/>
      <c r="G24" s="25"/>
      <c r="H24" s="25"/>
    </row>
    <row r="25" spans="1:11" x14ac:dyDescent="0.2">
      <c r="A25" s="22" t="str">
        <f>IF(FP="FP-24","-","-")</f>
        <v>-</v>
      </c>
      <c r="B25" s="23" t="str">
        <f>IF(FP="FP-24","                      - ","                      -")</f>
        <v xml:space="preserve">                      - </v>
      </c>
      <c r="C25" s="23"/>
      <c r="D25" s="3"/>
      <c r="E25" s="144"/>
      <c r="F25" s="4"/>
      <c r="G25" s="25" t="str">
        <f t="shared" si="0"/>
        <v>-</v>
      </c>
      <c r="H25" s="25" t="str">
        <f>IF(AND(ISNUMBER(D25),ISNUMBER(F25)),D25*G25,"-")</f>
        <v>-</v>
      </c>
    </row>
    <row r="26" spans="1:11" ht="6" customHeight="1" x14ac:dyDescent="0.2">
      <c r="A26" s="22"/>
      <c r="B26" s="23"/>
      <c r="C26" s="23"/>
      <c r="D26" s="144"/>
      <c r="E26" s="144"/>
      <c r="F26" s="145"/>
      <c r="G26" s="25"/>
      <c r="H26" s="25"/>
    </row>
    <row r="27" spans="1:11" x14ac:dyDescent="0.2">
      <c r="A27" s="22"/>
      <c r="B27" s="23"/>
      <c r="C27" s="23"/>
      <c r="D27" s="144"/>
      <c r="E27" s="144"/>
      <c r="F27" s="145"/>
      <c r="G27" s="25"/>
      <c r="H27" s="25"/>
    </row>
    <row r="28" spans="1:11" ht="6" customHeight="1" x14ac:dyDescent="0.2">
      <c r="A28" s="22"/>
      <c r="B28" s="23"/>
      <c r="C28" s="23"/>
      <c r="D28" s="144"/>
      <c r="E28" s="144"/>
      <c r="F28" s="145"/>
      <c r="G28" s="25"/>
      <c r="H28" s="25"/>
    </row>
    <row r="29" spans="1:11" ht="13.5" thickBot="1" x14ac:dyDescent="0.25">
      <c r="A29" s="22"/>
      <c r="B29" s="23"/>
      <c r="C29" s="23"/>
      <c r="D29" s="144"/>
      <c r="E29" s="144"/>
      <c r="F29" s="145"/>
      <c r="G29" s="25"/>
      <c r="H29" s="25"/>
    </row>
    <row r="30" spans="1:11" ht="18.75" customHeight="1" thickBot="1" x14ac:dyDescent="0.25">
      <c r="A30" s="207" t="s">
        <v>21</v>
      </c>
      <c r="B30" s="207"/>
      <c r="C30" s="207"/>
      <c r="D30" s="207"/>
      <c r="E30" s="207"/>
      <c r="F30" s="207"/>
      <c r="G30" s="207"/>
      <c r="H30" s="207"/>
      <c r="K30" s="27"/>
    </row>
    <row r="31" spans="1:11" ht="13.5" customHeight="1" x14ac:dyDescent="0.2">
      <c r="A31" s="28" t="s">
        <v>15</v>
      </c>
      <c r="B31" s="28"/>
      <c r="C31" s="17"/>
      <c r="D31" s="17" t="s">
        <v>16</v>
      </c>
      <c r="E31" s="28"/>
      <c r="F31" s="28"/>
      <c r="G31" s="28"/>
      <c r="H31" s="28"/>
      <c r="K31" s="27"/>
    </row>
    <row r="32" spans="1:11" ht="13.5" customHeight="1" thickBot="1" x14ac:dyDescent="0.25">
      <c r="A32" s="18" t="s">
        <v>17</v>
      </c>
      <c r="B32" s="19" t="s">
        <v>18</v>
      </c>
      <c r="C32" s="19"/>
      <c r="D32" s="20" t="str">
        <f>IF(Units="US CUSTOMARY"," (Ton or SY)"," (tonnes or m2)")</f>
        <v xml:space="preserve"> (Ton or SY)</v>
      </c>
      <c r="E32" s="21"/>
      <c r="F32" s="20" t="s">
        <v>19</v>
      </c>
      <c r="G32" s="20" t="str">
        <f>"Q_"&amp;IF(Units="US CUSTOMARY","Ton","t")&amp;" Unit Price"</f>
        <v>Q_Ton Unit Price</v>
      </c>
      <c r="H32" s="20" t="s">
        <v>20</v>
      </c>
    </row>
    <row r="33" spans="1:8" ht="13.5" customHeight="1" thickTop="1" x14ac:dyDescent="0.2">
      <c r="A33" s="22" t="str">
        <f>IF(FP="FP-24","401","401")</f>
        <v>401</v>
      </c>
      <c r="B33" s="23" t="str">
        <f>IF(FP="FP-24","ACP by Gyratory Mix Design","ACP by Gyratory Mix Design")</f>
        <v>ACP by Gyratory Mix Design</v>
      </c>
      <c r="C33" s="23"/>
      <c r="D33" s="3"/>
      <c r="E33" s="144"/>
      <c r="F33" s="4"/>
      <c r="G33" s="25" t="str">
        <f>IF(ISNUMBER(F33),ROUND(F33*0.06,2),"-")</f>
        <v>-</v>
      </c>
      <c r="H33" s="25" t="str">
        <f>IF(AND(ISNUMBER(D33),ISNUMBER(F33)),D33*G33,"-")</f>
        <v>-</v>
      </c>
    </row>
    <row r="34" spans="1:8" ht="6" customHeight="1" x14ac:dyDescent="0.2">
      <c r="A34" s="22"/>
      <c r="B34" s="23"/>
      <c r="C34" s="23"/>
      <c r="D34" s="144"/>
      <c r="E34" s="144"/>
      <c r="F34" s="145"/>
      <c r="G34" s="25"/>
      <c r="H34" s="25"/>
    </row>
    <row r="35" spans="1:8" ht="13.5" customHeight="1" x14ac:dyDescent="0.2">
      <c r="A35" s="22" t="str">
        <f>IF(FP="FP-24","402","402")</f>
        <v>402</v>
      </c>
      <c r="B35" s="23" t="str">
        <f>IF(FP="FP-24","ACP by Hveem or Marshall Mix Design","ACP by Hveem or Marshall Mix Design")</f>
        <v>ACP by Hveem or Marshall Mix Design</v>
      </c>
      <c r="C35" s="23"/>
      <c r="D35" s="3"/>
      <c r="E35" s="144"/>
      <c r="F35" s="4"/>
      <c r="G35" s="25" t="str">
        <f>IF(ISNUMBER(F35),ROUND(F35*0.06,2),"-")</f>
        <v>-</v>
      </c>
      <c r="H35" s="25" t="str">
        <f>IF(AND(ISNUMBER(D35),ISNUMBER(F35)),D35*G35,"-")</f>
        <v>-</v>
      </c>
    </row>
    <row r="36" spans="1:8" ht="6" customHeight="1" x14ac:dyDescent="0.2">
      <c r="A36" s="22"/>
      <c r="B36" s="23"/>
      <c r="C36" s="23"/>
      <c r="D36" s="144"/>
      <c r="E36" s="144"/>
      <c r="F36" s="145"/>
      <c r="G36" s="25"/>
      <c r="H36" s="25"/>
    </row>
    <row r="37" spans="1:8" ht="13.5" customHeight="1" x14ac:dyDescent="0.2">
      <c r="A37" s="22" t="str">
        <f>IF(FP="FP-24","-","-")</f>
        <v>-</v>
      </c>
      <c r="B37" s="23" t="str">
        <f>IF(FP="FP-24","                      -","                      -")</f>
        <v xml:space="preserve">                      -</v>
      </c>
      <c r="C37" s="23"/>
      <c r="D37" s="3"/>
      <c r="E37" s="144"/>
      <c r="F37" s="4"/>
      <c r="G37" s="25" t="str">
        <f>IF(ISNUMBER(F37),ROUND(F37*0.06,2),"-")</f>
        <v>-</v>
      </c>
      <c r="H37" s="25" t="str">
        <f>IF(AND(ISNUMBER(D37),ISNUMBER(F37)),D37*G37,"-")</f>
        <v>-</v>
      </c>
    </row>
    <row r="38" spans="1:8" ht="6" customHeight="1" x14ac:dyDescent="0.2">
      <c r="A38" s="22"/>
      <c r="B38" s="23"/>
      <c r="C38" s="23"/>
      <c r="D38" s="144"/>
      <c r="E38" s="144"/>
      <c r="F38" s="145"/>
      <c r="G38" s="25"/>
      <c r="H38" s="25"/>
    </row>
    <row r="39" spans="1:8" x14ac:dyDescent="0.2">
      <c r="A39" s="22"/>
      <c r="B39" s="23"/>
      <c r="C39" s="23"/>
      <c r="D39" s="144"/>
      <c r="E39" s="144"/>
      <c r="F39" s="145"/>
      <c r="G39" s="25"/>
      <c r="H39" s="25"/>
    </row>
    <row r="40" spans="1:8" ht="6" customHeight="1" x14ac:dyDescent="0.2">
      <c r="A40" s="22"/>
      <c r="B40" s="23"/>
      <c r="C40" s="23"/>
      <c r="D40" s="144"/>
      <c r="E40" s="144"/>
      <c r="F40" s="145"/>
      <c r="G40" s="25"/>
      <c r="H40" s="25"/>
    </row>
    <row r="41" spans="1:8" ht="13.5" thickBot="1" x14ac:dyDescent="0.25">
      <c r="A41" s="22"/>
      <c r="B41" s="23"/>
      <c r="C41" s="23"/>
      <c r="D41" s="144"/>
      <c r="E41" s="144"/>
      <c r="F41" s="145"/>
      <c r="G41" s="25"/>
      <c r="H41" s="25"/>
    </row>
    <row r="42" spans="1:8" ht="18.75" customHeight="1" thickBot="1" x14ac:dyDescent="0.25">
      <c r="A42" s="207" t="s">
        <v>22</v>
      </c>
      <c r="B42" s="207"/>
      <c r="C42" s="207"/>
      <c r="D42" s="207"/>
      <c r="E42" s="207"/>
      <c r="F42" s="207"/>
      <c r="G42" s="207"/>
      <c r="H42" s="207"/>
    </row>
    <row r="43" spans="1:8" ht="13.5" customHeight="1" x14ac:dyDescent="0.2">
      <c r="A43" s="28" t="s">
        <v>15</v>
      </c>
      <c r="B43" s="28"/>
      <c r="C43" s="17"/>
      <c r="D43" s="17" t="s">
        <v>16</v>
      </c>
      <c r="E43" s="28"/>
      <c r="F43" s="28"/>
      <c r="G43" s="28"/>
      <c r="H43" s="28"/>
    </row>
    <row r="44" spans="1:8" ht="13.5" customHeight="1" thickBot="1" x14ac:dyDescent="0.25">
      <c r="A44" s="18" t="s">
        <v>17</v>
      </c>
      <c r="B44" s="19" t="s">
        <v>18</v>
      </c>
      <c r="C44" s="19"/>
      <c r="D44" s="20" t="str">
        <f>IF(Units="US CUSTOMARY"," (Ton or SY)"," (tonnes or m2)")</f>
        <v xml:space="preserve"> (Ton or SY)</v>
      </c>
      <c r="E44" s="21"/>
      <c r="F44" s="20" t="s">
        <v>19</v>
      </c>
      <c r="G44" s="20" t="str">
        <f>"Q_"&amp;IF(Units="US CUSTOMARY","Ton","t")&amp;" Unit Price"</f>
        <v>Q_Ton Unit Price</v>
      </c>
      <c r="H44" s="20" t="s">
        <v>20</v>
      </c>
    </row>
    <row r="45" spans="1:8" ht="13.5" customHeight="1" thickTop="1" x14ac:dyDescent="0.2">
      <c r="A45" s="22" t="str">
        <f>IF(FP="FP-24","404"," -")</f>
        <v>404</v>
      </c>
      <c r="B45" s="23" t="str">
        <f>IF(FP="FP-24","Thin Lift Asphalt Concrete Pavement","                      -")</f>
        <v>Thin Lift Asphalt Concrete Pavement</v>
      </c>
      <c r="C45" s="23"/>
      <c r="D45" s="3"/>
      <c r="E45" s="144"/>
      <c r="F45" s="4"/>
      <c r="G45" s="25" t="str">
        <f>IF(ISNUMBER(F45),ROUND(F45*0.01,2),"-")</f>
        <v>-</v>
      </c>
      <c r="H45" s="25" t="str">
        <f>IF(AND(ISNUMBER(D45),ISNUMBER(F45)),D45*G45,"-")</f>
        <v>-</v>
      </c>
    </row>
    <row r="46" spans="1:8" ht="6" customHeight="1" x14ac:dyDescent="0.2">
      <c r="A46" s="22"/>
      <c r="B46" s="23"/>
      <c r="C46" s="23"/>
      <c r="D46" s="144"/>
      <c r="E46" s="144"/>
      <c r="F46" s="145"/>
      <c r="G46" s="25"/>
      <c r="H46" s="25"/>
    </row>
    <row r="47" spans="1:8" ht="13.5" customHeight="1" x14ac:dyDescent="0.2">
      <c r="A47" s="22"/>
      <c r="B47" s="23"/>
      <c r="C47" s="23"/>
      <c r="D47" s="144"/>
      <c r="E47" s="144"/>
      <c r="F47" s="145"/>
      <c r="G47" s="25"/>
      <c r="H47" s="25"/>
    </row>
    <row r="48" spans="1:8" ht="6" customHeight="1" x14ac:dyDescent="0.2">
      <c r="A48" s="22"/>
      <c r="B48" s="23"/>
      <c r="C48" s="23"/>
      <c r="D48" s="144"/>
      <c r="E48" s="144"/>
      <c r="F48" s="145"/>
      <c r="G48" s="25"/>
      <c r="H48" s="25"/>
    </row>
    <row r="49" spans="1:8" ht="13.5" customHeight="1" x14ac:dyDescent="0.2">
      <c r="A49" s="22"/>
      <c r="B49" s="23"/>
      <c r="C49" s="23"/>
      <c r="D49" s="144"/>
      <c r="E49" s="144"/>
      <c r="F49" s="145"/>
      <c r="G49" s="25"/>
      <c r="H49" s="25"/>
    </row>
    <row r="50" spans="1:8" x14ac:dyDescent="0.2">
      <c r="A50" s="22"/>
      <c r="B50" s="23"/>
      <c r="C50" s="23"/>
      <c r="D50" s="24"/>
      <c r="E50" s="24"/>
      <c r="F50" s="26"/>
      <c r="G50" s="25"/>
      <c r="H50" s="25"/>
    </row>
    <row r="51" spans="1:8" x14ac:dyDescent="0.2">
      <c r="A51" s="7"/>
      <c r="B51" s="7"/>
      <c r="C51" s="7"/>
      <c r="D51" s="8"/>
      <c r="E51" s="8"/>
      <c r="F51" s="9"/>
      <c r="G51" s="9"/>
      <c r="H51" s="9"/>
    </row>
    <row r="52" spans="1:8" x14ac:dyDescent="0.2">
      <c r="A52" s="211" t="s">
        <v>23</v>
      </c>
      <c r="B52" s="211"/>
      <c r="C52" s="211"/>
      <c r="D52" s="211"/>
      <c r="E52" s="211"/>
      <c r="F52" s="211"/>
      <c r="G52" s="211"/>
      <c r="H52" s="29">
        <f>SUM(H15,H17,H19,H21,H23,H25,H33,H35,H37,H45)</f>
        <v>0</v>
      </c>
    </row>
    <row r="53" spans="1:8" x14ac:dyDescent="0.2">
      <c r="A53" s="31"/>
      <c r="B53" s="31"/>
      <c r="C53" s="31"/>
      <c r="D53" s="31"/>
      <c r="E53" s="31"/>
      <c r="F53" s="31"/>
      <c r="G53" s="31"/>
      <c r="H53" s="32"/>
    </row>
    <row r="54" spans="1:8" ht="6" customHeight="1" x14ac:dyDescent="0.2">
      <c r="A54" s="31"/>
      <c r="B54" s="31"/>
      <c r="C54" s="31"/>
      <c r="D54" s="31"/>
      <c r="E54" s="31"/>
      <c r="F54" s="31"/>
      <c r="G54" s="31"/>
      <c r="H54" s="32"/>
    </row>
    <row r="55" spans="1:8" x14ac:dyDescent="0.2">
      <c r="A55" s="31"/>
      <c r="B55" s="31"/>
      <c r="C55" s="31"/>
      <c r="D55" s="31"/>
      <c r="E55" s="31"/>
      <c r="F55" s="31"/>
      <c r="G55" s="31"/>
      <c r="H55" s="32"/>
    </row>
    <row r="56" spans="1:8" ht="13.5" thickBot="1" x14ac:dyDescent="0.25">
      <c r="A56" s="7"/>
      <c r="B56" s="7"/>
      <c r="C56" s="7"/>
      <c r="D56" s="8"/>
      <c r="E56" s="8"/>
      <c r="F56" s="9"/>
      <c r="G56" s="9"/>
      <c r="H56" s="9"/>
    </row>
    <row r="57" spans="1:8" ht="18.75" thickBot="1" x14ac:dyDescent="0.25">
      <c r="A57" s="210" t="s">
        <v>24</v>
      </c>
      <c r="B57" s="210"/>
      <c r="C57" s="210"/>
      <c r="D57" s="210"/>
      <c r="E57" s="210"/>
      <c r="F57" s="210"/>
      <c r="G57" s="210"/>
      <c r="H57" s="210"/>
    </row>
    <row r="58" spans="1:8" x14ac:dyDescent="0.2">
      <c r="A58" s="28" t="s">
        <v>15</v>
      </c>
      <c r="B58" s="28"/>
      <c r="C58" s="28"/>
      <c r="D58" s="28" t="s">
        <v>25</v>
      </c>
      <c r="E58" s="28"/>
      <c r="F58" s="28"/>
      <c r="G58" s="28"/>
      <c r="H58" s="28"/>
    </row>
    <row r="59" spans="1:8" ht="13.5" thickBot="1" x14ac:dyDescent="0.25">
      <c r="A59" s="18" t="s">
        <v>17</v>
      </c>
      <c r="B59" s="19" t="s">
        <v>18</v>
      </c>
      <c r="C59" s="19"/>
      <c r="D59" s="21" t="str">
        <f>"Lane-"&amp;IF(Units="US CUSTOMARY","miles","kilometers")</f>
        <v>Lane-miles</v>
      </c>
      <c r="E59" s="21"/>
      <c r="F59" s="20"/>
      <c r="G59" s="20"/>
      <c r="H59" s="20" t="s">
        <v>20</v>
      </c>
    </row>
    <row r="60" spans="1:8" ht="13.5" thickTop="1" x14ac:dyDescent="0.2">
      <c r="A60" s="22">
        <v>401</v>
      </c>
      <c r="B60" s="7" t="s">
        <v>103</v>
      </c>
      <c r="C60" s="7"/>
      <c r="D60" s="5"/>
      <c r="E60" s="33"/>
      <c r="F60" s="25"/>
      <c r="G60" s="25"/>
      <c r="H60" s="25" t="str">
        <f>IF(ISNUMBER(D60),IF(FP="FP-14",(IF(Units="US CUSTOMARY",80000,49600)*(1.05-1)*D60),(IF(FP="FP-24",(IF(Units="Us Customary",100000,62200)*(1.05-1)*D60)))),"-")</f>
        <v>-</v>
      </c>
    </row>
    <row r="61" spans="1:8" ht="6" customHeight="1" x14ac:dyDescent="0.2">
      <c r="A61" s="22"/>
      <c r="B61" s="7"/>
      <c r="C61" s="7"/>
      <c r="D61" s="146"/>
      <c r="E61" s="33"/>
      <c r="F61" s="25"/>
      <c r="G61" s="25"/>
      <c r="H61" s="25"/>
    </row>
    <row r="62" spans="1:8" x14ac:dyDescent="0.2">
      <c r="A62" s="22">
        <v>402</v>
      </c>
      <c r="B62" s="7" t="str">
        <f>IF(FP="FP-03","Hot ACP By Hveem or Marshall Mix Design","ACP By Hveem or Marshall Mix Design")</f>
        <v>ACP By Hveem or Marshall Mix Design</v>
      </c>
      <c r="C62" s="7"/>
      <c r="D62" s="5"/>
      <c r="E62" s="33"/>
      <c r="F62" s="25"/>
      <c r="G62" s="25"/>
      <c r="H62" s="25" t="str">
        <f>IF(ISNUMBER(D62),IF(FP="FP-14",(IF(Units="US CUSTOMARY",80000,49600)*(1.05-1)*D62),(IF(FP="FP-24",(IF(Units="Us Customary",100000,62200)*(1.05-1)*D62)))),"-")</f>
        <v>-</v>
      </c>
    </row>
    <row r="63" spans="1:8" x14ac:dyDescent="0.2">
      <c r="A63" s="22"/>
      <c r="B63" s="7"/>
      <c r="C63" s="7"/>
      <c r="D63" s="33"/>
      <c r="E63" s="33"/>
      <c r="F63" s="25"/>
      <c r="G63" s="25"/>
      <c r="H63" s="25"/>
    </row>
    <row r="64" spans="1:8" x14ac:dyDescent="0.2">
      <c r="A64" s="7"/>
      <c r="B64" s="7"/>
      <c r="C64" s="7"/>
      <c r="D64" s="8"/>
      <c r="E64" s="8"/>
      <c r="F64" s="9"/>
      <c r="G64" s="9"/>
      <c r="H64" s="9"/>
    </row>
    <row r="65" spans="1:8" x14ac:dyDescent="0.2">
      <c r="A65" s="211" t="s">
        <v>26</v>
      </c>
      <c r="B65" s="211"/>
      <c r="C65" s="211"/>
      <c r="D65" s="211"/>
      <c r="E65" s="211"/>
      <c r="F65" s="211"/>
      <c r="G65" s="211"/>
      <c r="H65" s="34">
        <f>SUM(H60,H62)</f>
        <v>0</v>
      </c>
    </row>
    <row r="66" spans="1:8" x14ac:dyDescent="0.2">
      <c r="A66" s="7"/>
      <c r="B66" s="7"/>
      <c r="C66" s="7"/>
      <c r="D66" s="8"/>
      <c r="E66" s="8"/>
      <c r="F66" s="9"/>
      <c r="G66" s="35"/>
      <c r="H66" s="36"/>
    </row>
    <row r="67" spans="1:8" x14ac:dyDescent="0.2">
      <c r="A67" s="39" t="s">
        <v>27</v>
      </c>
      <c r="B67" s="40" t="s">
        <v>28</v>
      </c>
      <c r="C67" s="40"/>
      <c r="D67" s="8"/>
      <c r="E67" s="8"/>
      <c r="F67" s="9"/>
      <c r="G67" s="9"/>
      <c r="H67" s="9"/>
    </row>
    <row r="68" spans="1:8" x14ac:dyDescent="0.2">
      <c r="A68" s="40"/>
      <c r="B68" s="40" t="s">
        <v>29</v>
      </c>
      <c r="C68" s="40"/>
      <c r="D68" s="8"/>
      <c r="E68" s="8"/>
      <c r="F68" s="9"/>
      <c r="G68" s="9"/>
      <c r="H68" s="9"/>
    </row>
    <row r="69" spans="1:8" x14ac:dyDescent="0.2">
      <c r="A69" s="40"/>
      <c r="B69" s="40"/>
      <c r="C69" s="40"/>
      <c r="D69" s="8"/>
      <c r="E69" s="8"/>
      <c r="F69" s="9"/>
      <c r="G69" s="9"/>
      <c r="H69" s="9"/>
    </row>
    <row r="70" spans="1:8" x14ac:dyDescent="0.2">
      <c r="A70" s="39" t="s">
        <v>30</v>
      </c>
      <c r="B70" s="40" t="s">
        <v>31</v>
      </c>
      <c r="C70" s="40"/>
      <c r="D70" s="8"/>
      <c r="E70" s="8"/>
      <c r="F70" s="9"/>
      <c r="G70" s="9"/>
      <c r="H70" s="9"/>
    </row>
    <row r="71" spans="1:8" x14ac:dyDescent="0.2">
      <c r="A71" s="40"/>
      <c r="B71" s="40" t="s">
        <v>29</v>
      </c>
      <c r="C71" s="40"/>
      <c r="D71" s="8"/>
      <c r="E71" s="8"/>
      <c r="F71" s="9"/>
      <c r="G71" s="9"/>
      <c r="H71" s="9"/>
    </row>
    <row r="72" spans="1:8" x14ac:dyDescent="0.2">
      <c r="A72" s="7"/>
      <c r="B72" s="7"/>
      <c r="C72" s="40"/>
      <c r="D72" s="8"/>
      <c r="E72" s="8"/>
      <c r="F72" s="9"/>
      <c r="G72" s="9"/>
      <c r="H72" s="9"/>
    </row>
    <row r="73" spans="1:8" x14ac:dyDescent="0.2">
      <c r="A73" s="39" t="s">
        <v>32</v>
      </c>
      <c r="B73" s="40" t="s">
        <v>31</v>
      </c>
      <c r="C73" s="40"/>
      <c r="D73" s="8"/>
      <c r="E73" s="8"/>
      <c r="F73" s="9"/>
      <c r="G73" s="9"/>
      <c r="H73" s="9"/>
    </row>
    <row r="74" spans="1:8" x14ac:dyDescent="0.2">
      <c r="A74" s="40"/>
      <c r="B74" s="40" t="s">
        <v>29</v>
      </c>
      <c r="C74" s="40"/>
      <c r="D74" s="8"/>
      <c r="E74" s="8"/>
      <c r="F74" s="9"/>
      <c r="G74" s="9"/>
      <c r="H74" s="9"/>
    </row>
    <row r="75" spans="1:8" x14ac:dyDescent="0.2">
      <c r="A75" s="40"/>
      <c r="B75" s="40"/>
      <c r="C75" s="40"/>
      <c r="D75" s="8"/>
      <c r="E75" s="8"/>
      <c r="F75" s="9"/>
      <c r="G75" s="9"/>
      <c r="H75" s="9"/>
    </row>
    <row r="76" spans="1:8" x14ac:dyDescent="0.2">
      <c r="A76" s="190" t="s">
        <v>33</v>
      </c>
      <c r="B76" s="191" t="str">
        <f>"Incentive Amt = (Lane-"&amp;IF(Units="US CUSTOMARY","miles","kilometers")&amp;" x "&amp;IF(FP="FP-14",IF(Units="US CUSTOMARY","80,000 x 0.05)","49,600 x 0.05)"),IF(FP="FP-24",IF(Units="US CUSTOMARY","100,000 x 0.05)","62,200 x 0.05)")))</f>
        <v>Incentive Amt = (Lane-miles x 100,000 x 0.05)</v>
      </c>
      <c r="C76" s="40"/>
      <c r="D76" s="8"/>
      <c r="E76" s="8"/>
      <c r="F76" s="9"/>
      <c r="G76" s="9"/>
      <c r="H76" s="9"/>
    </row>
    <row r="77" spans="1:8" x14ac:dyDescent="0.2">
      <c r="A77" s="190"/>
      <c r="B77" s="191"/>
      <c r="C77" s="40"/>
      <c r="D77" s="8"/>
      <c r="E77" s="8"/>
      <c r="F77" s="9"/>
      <c r="G77" s="9"/>
      <c r="H77" s="9"/>
    </row>
    <row r="78" spans="1:8" x14ac:dyDescent="0.2">
      <c r="A78" s="190"/>
      <c r="B78" s="191"/>
      <c r="C78" s="40"/>
      <c r="D78" s="8"/>
      <c r="E78" s="8"/>
      <c r="F78" s="9"/>
      <c r="G78" s="9"/>
      <c r="H78" s="9"/>
    </row>
    <row r="79" spans="1:8" ht="18" x14ac:dyDescent="0.25">
      <c r="A79" s="208" t="s">
        <v>34</v>
      </c>
      <c r="B79" s="208"/>
      <c r="C79" s="208"/>
      <c r="D79" s="208"/>
      <c r="E79" s="208"/>
      <c r="F79" s="208"/>
      <c r="G79" s="208"/>
      <c r="H79" s="208"/>
    </row>
    <row r="80" spans="1:8" x14ac:dyDescent="0.2">
      <c r="A80" s="7"/>
      <c r="B80" s="7"/>
      <c r="C80" s="11" t="s">
        <v>1</v>
      </c>
      <c r="D80" s="12" t="str">
        <f>+Sheet1!D2</f>
        <v>FP-24</v>
      </c>
      <c r="E80" s="8"/>
      <c r="F80" s="9"/>
      <c r="G80" s="9"/>
      <c r="H80" s="9"/>
    </row>
    <row r="81" spans="1:8" x14ac:dyDescent="0.2">
      <c r="A81" s="7"/>
      <c r="B81" s="7"/>
      <c r="C81" s="7"/>
      <c r="D81" s="10"/>
      <c r="E81" s="8"/>
      <c r="F81" s="9"/>
      <c r="G81" s="9"/>
      <c r="H81" s="9"/>
    </row>
    <row r="82" spans="1:8" x14ac:dyDescent="0.2">
      <c r="A82" s="11" t="s">
        <v>3</v>
      </c>
      <c r="B82" s="206" t="str">
        <f>+B4</f>
        <v>AZ Heidi Test(1)</v>
      </c>
      <c r="C82" s="206"/>
      <c r="D82" s="12"/>
      <c r="E82" s="12"/>
      <c r="F82" s="13"/>
      <c r="G82" s="14" t="s">
        <v>5</v>
      </c>
      <c r="H82" s="15">
        <f ca="1" xml:space="preserve"> TODAY()</f>
        <v>45532</v>
      </c>
    </row>
    <row r="83" spans="1:8" ht="4.5" customHeight="1" x14ac:dyDescent="0.2">
      <c r="A83" s="11"/>
      <c r="B83" s="206"/>
      <c r="C83" s="206"/>
      <c r="D83" s="12"/>
      <c r="E83" s="12"/>
      <c r="F83" s="13"/>
      <c r="G83" s="14"/>
      <c r="H83" s="15"/>
    </row>
    <row r="84" spans="1:8" x14ac:dyDescent="0.2">
      <c r="A84" s="11" t="s">
        <v>6</v>
      </c>
      <c r="B84" s="212" t="str">
        <f>+B6</f>
        <v>Heidi National Park</v>
      </c>
      <c r="C84" s="212"/>
      <c r="D84" s="212"/>
      <c r="E84" s="212"/>
      <c r="F84" s="212"/>
      <c r="G84" s="14" t="str">
        <f>+G6</f>
        <v xml:space="preserve">Schedule Type: </v>
      </c>
      <c r="H84" s="16" t="str">
        <f>+H6</f>
        <v>Base</v>
      </c>
    </row>
    <row r="85" spans="1:8" x14ac:dyDescent="0.2">
      <c r="A85" s="11"/>
      <c r="B85" s="206"/>
      <c r="C85" s="206"/>
      <c r="D85" s="206"/>
      <c r="E85" s="206"/>
      <c r="F85" s="206"/>
      <c r="G85" s="14" t="str">
        <f>+G8</f>
        <v>Schedule Letter:</v>
      </c>
      <c r="H85" s="16" t="str">
        <f>+H8</f>
        <v>B</v>
      </c>
    </row>
    <row r="86" spans="1:8" x14ac:dyDescent="0.2">
      <c r="A86" s="7"/>
      <c r="B86" s="7"/>
      <c r="C86" s="7"/>
      <c r="D86" s="8"/>
      <c r="E86" s="8"/>
      <c r="F86" s="9"/>
      <c r="G86" s="14" t="s">
        <v>12</v>
      </c>
      <c r="H86" s="13" t="str">
        <f>+Units</f>
        <v>US CUSTOMARY</v>
      </c>
    </row>
    <row r="87" spans="1:8" ht="6.75" customHeight="1" thickBot="1" x14ac:dyDescent="0.25">
      <c r="A87" s="7"/>
      <c r="B87" s="7"/>
      <c r="C87" s="7"/>
      <c r="D87" s="8"/>
      <c r="E87" s="8"/>
      <c r="F87" s="9"/>
      <c r="G87" s="14"/>
      <c r="H87" s="13"/>
    </row>
    <row r="88" spans="1:8" ht="19.5" customHeight="1" thickBot="1" x14ac:dyDescent="0.25">
      <c r="A88" s="129" t="s">
        <v>35</v>
      </c>
      <c r="B88" s="130"/>
      <c r="C88" s="130"/>
      <c r="D88" s="130"/>
      <c r="E88" s="130"/>
      <c r="F88" s="130"/>
      <c r="G88" s="130"/>
      <c r="H88" s="131"/>
    </row>
    <row r="89" spans="1:8" ht="5.25" customHeight="1" x14ac:dyDescent="0.2">
      <c r="A89" s="17"/>
      <c r="B89" s="43"/>
      <c r="C89" s="43"/>
      <c r="D89" s="44"/>
      <c r="E89" s="45"/>
      <c r="F89" s="44"/>
      <c r="G89" s="44"/>
      <c r="H89" s="44"/>
    </row>
    <row r="90" spans="1:8" x14ac:dyDescent="0.2">
      <c r="A90" s="56" t="s">
        <v>36</v>
      </c>
      <c r="B90" s="57"/>
      <c r="C90" s="58" t="s">
        <v>37</v>
      </c>
      <c r="D90" s="59" t="str">
        <f>IF(Units="US CUSTOMARY"," CUYD"," m3")</f>
        <v xml:space="preserve"> CUYD</v>
      </c>
      <c r="E90" s="60"/>
      <c r="F90" s="61" t="s">
        <v>38</v>
      </c>
      <c r="G90" s="44"/>
      <c r="H90" s="44"/>
    </row>
    <row r="91" spans="1:8" x14ac:dyDescent="0.2">
      <c r="A91" s="87">
        <v>20401</v>
      </c>
      <c r="B91" s="88" t="s">
        <v>39</v>
      </c>
      <c r="C91" s="215">
        <f>IF(Units="US Customary", 0.3, 0.39)</f>
        <v>0.3</v>
      </c>
      <c r="D91" s="90"/>
      <c r="E91" s="91"/>
      <c r="F91" s="108" t="str">
        <f>IF(ISNUMBER(D91),+C$91*D91, "-")</f>
        <v>-</v>
      </c>
      <c r="G91" s="25"/>
      <c r="H91" s="25"/>
    </row>
    <row r="92" spans="1:8" ht="12.75" customHeight="1" x14ac:dyDescent="0.2">
      <c r="A92" s="87">
        <v>20402</v>
      </c>
      <c r="B92" s="88" t="s">
        <v>40</v>
      </c>
      <c r="C92" s="216"/>
      <c r="D92" s="90"/>
      <c r="E92" s="91"/>
      <c r="F92" s="108" t="str">
        <f t="shared" ref="F92:F100" si="1">IF(ISNUMBER(D92),+C$91*D92, "-")</f>
        <v>-</v>
      </c>
      <c r="G92" s="25"/>
      <c r="H92" s="25"/>
    </row>
    <row r="93" spans="1:8" ht="12.75" customHeight="1" x14ac:dyDescent="0.2">
      <c r="A93" s="87">
        <v>20403</v>
      </c>
      <c r="B93" s="88" t="s">
        <v>41</v>
      </c>
      <c r="C93" s="216"/>
      <c r="D93" s="90"/>
      <c r="E93" s="91"/>
      <c r="F93" s="108" t="str">
        <f t="shared" si="1"/>
        <v>-</v>
      </c>
      <c r="G93" s="25"/>
      <c r="H93" s="25"/>
    </row>
    <row r="94" spans="1:8" ht="12.75" customHeight="1" x14ac:dyDescent="0.2">
      <c r="A94" s="87">
        <v>20404</v>
      </c>
      <c r="B94" s="89" t="s">
        <v>42</v>
      </c>
      <c r="C94" s="216"/>
      <c r="D94" s="90"/>
      <c r="E94" s="91"/>
      <c r="F94" s="108" t="str">
        <f t="shared" si="1"/>
        <v>-</v>
      </c>
      <c r="G94" s="25"/>
      <c r="H94" s="25"/>
    </row>
    <row r="95" spans="1:8" ht="12.75" customHeight="1" x14ac:dyDescent="0.2">
      <c r="A95" s="87">
        <v>20410</v>
      </c>
      <c r="B95" s="89" t="s">
        <v>43</v>
      </c>
      <c r="C95" s="216"/>
      <c r="D95" s="90"/>
      <c r="E95" s="91"/>
      <c r="F95" s="108" t="str">
        <f t="shared" si="1"/>
        <v>-</v>
      </c>
      <c r="G95" s="25"/>
      <c r="H95" s="25"/>
    </row>
    <row r="96" spans="1:8" ht="12.75" customHeight="1" x14ac:dyDescent="0.2">
      <c r="A96" s="87">
        <v>20411</v>
      </c>
      <c r="B96" s="89" t="s">
        <v>44</v>
      </c>
      <c r="C96" s="216"/>
      <c r="D96" s="90"/>
      <c r="E96" s="91"/>
      <c r="F96" s="108" t="str">
        <f t="shared" si="1"/>
        <v>-</v>
      </c>
      <c r="G96" s="25"/>
      <c r="H96" s="25"/>
    </row>
    <row r="97" spans="1:8" ht="12.75" customHeight="1" x14ac:dyDescent="0.2">
      <c r="A97" s="87" t="str">
        <f>IF(FP="FP-24","-","20415")</f>
        <v>-</v>
      </c>
      <c r="B97" s="88" t="str">
        <f>IF(FP="FP-24","                      -","Select topping")</f>
        <v xml:space="preserve">                      -</v>
      </c>
      <c r="C97" s="216"/>
      <c r="D97" s="90"/>
      <c r="E97" s="91"/>
      <c r="F97" s="108" t="str">
        <f t="shared" si="1"/>
        <v>-</v>
      </c>
      <c r="G97" s="25"/>
      <c r="H97" s="25"/>
    </row>
    <row r="98" spans="1:8" ht="12.75" customHeight="1" x14ac:dyDescent="0.2">
      <c r="A98" s="87" t="str">
        <f>IF(FP="FP-24","-","20416")</f>
        <v>-</v>
      </c>
      <c r="B98" s="88" t="str">
        <f>IF(FP="FP-24","                      -","Select topping")</f>
        <v xml:space="preserve">                      -</v>
      </c>
      <c r="C98" s="216"/>
      <c r="D98" s="90"/>
      <c r="E98" s="91"/>
      <c r="F98" s="108" t="str">
        <f t="shared" si="1"/>
        <v>-</v>
      </c>
      <c r="G98" s="25"/>
      <c r="H98" s="25"/>
    </row>
    <row r="99" spans="1:8" ht="12.75" customHeight="1" x14ac:dyDescent="0.2">
      <c r="A99" s="87">
        <v>20420</v>
      </c>
      <c r="B99" s="89" t="s">
        <v>45</v>
      </c>
      <c r="C99" s="216"/>
      <c r="D99" s="90"/>
      <c r="E99" s="91"/>
      <c r="F99" s="108" t="str">
        <f t="shared" si="1"/>
        <v>-</v>
      </c>
      <c r="G99" s="25"/>
      <c r="H99" s="25"/>
    </row>
    <row r="100" spans="1:8" ht="12.75" customHeight="1" x14ac:dyDescent="0.2">
      <c r="A100" s="87">
        <v>20421</v>
      </c>
      <c r="B100" s="89" t="s">
        <v>46</v>
      </c>
      <c r="C100" s="216"/>
      <c r="D100" s="90"/>
      <c r="E100" s="91"/>
      <c r="F100" s="108" t="str">
        <f t="shared" si="1"/>
        <v>-</v>
      </c>
      <c r="G100" s="25"/>
      <c r="H100" s="25"/>
    </row>
    <row r="101" spans="1:8" x14ac:dyDescent="0.2">
      <c r="A101" s="62" t="s">
        <v>47</v>
      </c>
      <c r="B101" s="63"/>
      <c r="C101" s="58" t="s">
        <v>37</v>
      </c>
      <c r="D101" s="59" t="str">
        <f>IF(Units="US CUSTOMARY"," Tons"," tonnes")</f>
        <v xml:space="preserve"> Tons</v>
      </c>
      <c r="E101" s="60"/>
      <c r="F101" s="61" t="s">
        <v>38</v>
      </c>
      <c r="G101" s="25"/>
      <c r="H101" s="25"/>
    </row>
    <row r="102" spans="1:8" x14ac:dyDescent="0.2">
      <c r="A102" s="87">
        <v>30101</v>
      </c>
      <c r="B102" s="89" t="s">
        <v>48</v>
      </c>
      <c r="C102" s="217">
        <f>IF(Units="US Customary", 0.7, 0.77)</f>
        <v>0.7</v>
      </c>
      <c r="D102" s="90"/>
      <c r="E102" s="91"/>
      <c r="F102" s="108" t="str">
        <f>IF(ISNUMBER(D102),+C$102*D102, "-")</f>
        <v>-</v>
      </c>
      <c r="G102" s="25"/>
      <c r="H102" s="25"/>
    </row>
    <row r="103" spans="1:8" x14ac:dyDescent="0.2">
      <c r="A103" s="87">
        <v>30102</v>
      </c>
      <c r="B103" s="89" t="s">
        <v>49</v>
      </c>
      <c r="C103" s="218"/>
      <c r="D103" s="90"/>
      <c r="E103" s="91"/>
      <c r="F103" s="108" t="str">
        <f t="shared" ref="F103:F110" si="2">IF(ISNUMBER(D103),+C$102*D103, "-")</f>
        <v>-</v>
      </c>
      <c r="G103" s="25"/>
      <c r="H103" s="25"/>
    </row>
    <row r="104" spans="1:8" x14ac:dyDescent="0.2">
      <c r="A104" s="87">
        <v>30103</v>
      </c>
      <c r="B104" s="89" t="s">
        <v>49</v>
      </c>
      <c r="C104" s="218"/>
      <c r="D104" s="90"/>
      <c r="E104" s="91"/>
      <c r="F104" s="108" t="str">
        <f t="shared" si="2"/>
        <v>-</v>
      </c>
      <c r="G104" s="25"/>
      <c r="H104" s="25"/>
    </row>
    <row r="105" spans="1:8" x14ac:dyDescent="0.2">
      <c r="A105" s="135">
        <v>30105</v>
      </c>
      <c r="B105" s="136" t="s">
        <v>50</v>
      </c>
      <c r="C105" s="218"/>
      <c r="D105" s="90"/>
      <c r="E105" s="91"/>
      <c r="F105" s="108" t="str">
        <f t="shared" si="2"/>
        <v>-</v>
      </c>
      <c r="G105" s="25"/>
      <c r="H105" s="25"/>
    </row>
    <row r="106" spans="1:8" x14ac:dyDescent="0.2">
      <c r="A106" s="135">
        <v>30106</v>
      </c>
      <c r="B106" s="136" t="s">
        <v>51</v>
      </c>
      <c r="C106" s="218"/>
      <c r="D106" s="90"/>
      <c r="E106" s="91"/>
      <c r="F106" s="108" t="str">
        <f t="shared" si="2"/>
        <v>-</v>
      </c>
      <c r="G106" s="25"/>
      <c r="H106" s="25"/>
    </row>
    <row r="107" spans="1:8" x14ac:dyDescent="0.2">
      <c r="A107" s="135">
        <v>30107</v>
      </c>
      <c r="B107" s="136" t="s">
        <v>51</v>
      </c>
      <c r="C107" s="218"/>
      <c r="D107" s="90"/>
      <c r="E107" s="91"/>
      <c r="F107" s="108" t="str">
        <f t="shared" si="2"/>
        <v>-</v>
      </c>
      <c r="G107" s="25"/>
      <c r="H107" s="25"/>
    </row>
    <row r="108" spans="1:8" x14ac:dyDescent="0.2">
      <c r="A108" s="135">
        <v>30110</v>
      </c>
      <c r="B108" s="136" t="s">
        <v>52</v>
      </c>
      <c r="C108" s="218"/>
      <c r="D108" s="90"/>
      <c r="E108" s="91"/>
      <c r="F108" s="108" t="str">
        <f t="shared" si="2"/>
        <v>-</v>
      </c>
      <c r="G108" s="25"/>
      <c r="H108" s="25"/>
    </row>
    <row r="109" spans="1:8" x14ac:dyDescent="0.2">
      <c r="A109" s="135">
        <v>30111</v>
      </c>
      <c r="B109" s="136" t="s">
        <v>53</v>
      </c>
      <c r="C109" s="218"/>
      <c r="D109" s="90"/>
      <c r="E109" s="91"/>
      <c r="F109" s="108" t="str">
        <f t="shared" si="2"/>
        <v>-</v>
      </c>
      <c r="G109" s="25"/>
      <c r="H109" s="25"/>
    </row>
    <row r="110" spans="1:8" x14ac:dyDescent="0.2">
      <c r="A110" s="135">
        <v>30112</v>
      </c>
      <c r="B110" s="136" t="s">
        <v>53</v>
      </c>
      <c r="C110" s="218"/>
      <c r="D110" s="90"/>
      <c r="E110" s="91"/>
      <c r="F110" s="108" t="str">
        <f t="shared" si="2"/>
        <v>-</v>
      </c>
      <c r="G110" s="25"/>
      <c r="H110" s="25"/>
    </row>
    <row r="111" spans="1:8" x14ac:dyDescent="0.2">
      <c r="A111" s="62" t="s">
        <v>54</v>
      </c>
      <c r="B111" s="63"/>
      <c r="C111" s="58" t="s">
        <v>37</v>
      </c>
      <c r="D111" s="59" t="str">
        <f>IF(Units="US CUSTOMARY"," SQYD","m2")</f>
        <v xml:space="preserve"> SQYD</v>
      </c>
      <c r="E111" s="64"/>
      <c r="F111" s="61" t="s">
        <v>38</v>
      </c>
      <c r="G111" s="25"/>
      <c r="H111" s="25"/>
    </row>
    <row r="112" spans="1:8" x14ac:dyDescent="0.2">
      <c r="A112" s="87" t="s">
        <v>55</v>
      </c>
      <c r="B112" s="88" t="s">
        <v>56</v>
      </c>
      <c r="C112" s="218">
        <f>IF(Units="US Customary", 0.3, 0.36)</f>
        <v>0.3</v>
      </c>
      <c r="D112" s="90"/>
      <c r="E112" s="91"/>
      <c r="F112" s="108" t="str">
        <f>IF(ISNUMBER(D112),+C$112*D112, "-")</f>
        <v>-</v>
      </c>
      <c r="G112" s="25"/>
      <c r="H112" s="25"/>
    </row>
    <row r="113" spans="1:8" x14ac:dyDescent="0.2">
      <c r="A113" s="87" t="s">
        <v>57</v>
      </c>
      <c r="B113" s="88" t="s">
        <v>58</v>
      </c>
      <c r="C113" s="218"/>
      <c r="D113" s="90"/>
      <c r="E113" s="91"/>
      <c r="F113" s="108" t="str">
        <f>IF(ISNUMBER(D113),+C$112*D113, "-")</f>
        <v>-</v>
      </c>
      <c r="G113" s="25"/>
      <c r="H113" s="25"/>
    </row>
    <row r="114" spans="1:8" x14ac:dyDescent="0.2">
      <c r="A114" s="62" t="s">
        <v>59</v>
      </c>
      <c r="B114" s="65"/>
      <c r="C114" s="58" t="s">
        <v>37</v>
      </c>
      <c r="D114" s="59" t="str">
        <f>IF(Units="US CUSTOMARY"," SQYD","m2")</f>
        <v xml:space="preserve"> SQYD</v>
      </c>
      <c r="E114" s="64"/>
      <c r="F114" s="61" t="s">
        <v>38</v>
      </c>
      <c r="G114" s="25"/>
      <c r="H114" s="25"/>
    </row>
    <row r="115" spans="1:8" ht="12.75" customHeight="1" x14ac:dyDescent="0.2">
      <c r="A115" s="87" t="s">
        <v>60</v>
      </c>
      <c r="B115" s="92" t="s">
        <v>61</v>
      </c>
      <c r="C115" s="217">
        <f>IF(Units="US Customary", 0.3, 0.36)</f>
        <v>0.3</v>
      </c>
      <c r="D115" s="90"/>
      <c r="E115" s="91"/>
      <c r="F115" s="108" t="str">
        <f>IF(ISNUMBER(D115),+C$115*D115, "-")</f>
        <v>-</v>
      </c>
      <c r="G115" s="73"/>
      <c r="H115" s="25"/>
    </row>
    <row r="116" spans="1:8" ht="12.75" customHeight="1" x14ac:dyDescent="0.2">
      <c r="A116" s="87" t="s">
        <v>62</v>
      </c>
      <c r="B116" s="92" t="s">
        <v>63</v>
      </c>
      <c r="C116" s="218"/>
      <c r="D116" s="90"/>
      <c r="E116" s="91"/>
      <c r="F116" s="108" t="str">
        <f t="shared" ref="F116:F118" si="3">IF(ISNUMBER(D116),+C$115*D116, "-")</f>
        <v>-</v>
      </c>
      <c r="G116" s="73"/>
      <c r="H116" s="25"/>
    </row>
    <row r="117" spans="1:8" ht="12.75" customHeight="1" x14ac:dyDescent="0.2">
      <c r="A117" s="87" t="s">
        <v>64</v>
      </c>
      <c r="B117" s="92" t="s">
        <v>65</v>
      </c>
      <c r="C117" s="218"/>
      <c r="D117" s="90"/>
      <c r="E117" s="91"/>
      <c r="F117" s="108" t="str">
        <f t="shared" si="3"/>
        <v>-</v>
      </c>
      <c r="G117" s="73"/>
      <c r="H117" s="25"/>
    </row>
    <row r="118" spans="1:8" ht="12.75" customHeight="1" x14ac:dyDescent="0.2">
      <c r="A118" s="93" t="s">
        <v>66</v>
      </c>
      <c r="B118" s="94" t="s">
        <v>67</v>
      </c>
      <c r="C118" s="218"/>
      <c r="D118" s="95"/>
      <c r="E118" s="96"/>
      <c r="F118" s="108" t="str">
        <f t="shared" si="3"/>
        <v>-</v>
      </c>
      <c r="G118" s="73"/>
      <c r="H118" s="25"/>
    </row>
    <row r="119" spans="1:8" x14ac:dyDescent="0.2">
      <c r="A119" s="67" t="str">
        <f>IF(FP="FP-24","Section 308 - Emulsified Asphalt-Treated Base Course","Section 309 - Emulsified Asphalt-Treated Base Course")</f>
        <v>Section 308 - Emulsified Asphalt-Treated Base Course</v>
      </c>
      <c r="B119" s="63"/>
      <c r="C119" s="58" t="s">
        <v>37</v>
      </c>
      <c r="D119" s="59" t="str">
        <f>IF(Units="US CUSTOMARY"," Tons"," tonnes")</f>
        <v xml:space="preserve"> Tons</v>
      </c>
      <c r="E119" s="64"/>
      <c r="F119" s="66" t="s">
        <v>38</v>
      </c>
      <c r="G119" s="25"/>
      <c r="H119" s="25"/>
    </row>
    <row r="120" spans="1:8" x14ac:dyDescent="0.2">
      <c r="A120" s="97" t="str">
        <f>IF(FP="FP-24","30801","30901")</f>
        <v>30801</v>
      </c>
      <c r="B120" s="89" t="str">
        <f>IF(FP="FP-24","Emulsified asphalt-treated aggregate base","Emulsified asphalt-treated aggregate base")</f>
        <v>Emulsified asphalt-treated aggregate base</v>
      </c>
      <c r="C120" s="217">
        <f>IF(Units="US Customary", 0.7, 0.77)</f>
        <v>0.7</v>
      </c>
      <c r="D120" s="90"/>
      <c r="E120" s="91"/>
      <c r="F120" s="108" t="str">
        <f>IF(ISNUMBER(D120),+C$120*D120, "-")</f>
        <v>-</v>
      </c>
      <c r="G120" s="25"/>
      <c r="H120" s="25"/>
    </row>
    <row r="121" spans="1:8" ht="12.75" customHeight="1" x14ac:dyDescent="0.2">
      <c r="A121" s="97" t="str">
        <f>IF(FP="FP-24","30802","30902")</f>
        <v>30802</v>
      </c>
      <c r="B121" s="89" t="str">
        <f>IF(FP="FP-24","Emulsified asphalt-treated aggregate base*","Emulsified asphalt-treated aggregate base*")</f>
        <v>Emulsified asphalt-treated aggregate base*</v>
      </c>
      <c r="C121" s="218"/>
      <c r="D121" s="90"/>
      <c r="E121" s="91"/>
      <c r="F121" s="108" t="str">
        <f t="shared" ref="F121:F122" si="4">IF(ISNUMBER(D121),+C$120*D121, "-")</f>
        <v>-</v>
      </c>
      <c r="G121" s="25"/>
      <c r="H121" s="25"/>
    </row>
    <row r="122" spans="1:8" ht="12.75" customHeight="1" x14ac:dyDescent="0.2">
      <c r="A122" s="97" t="str">
        <f>IF(FP="FP-24","30803","30903")</f>
        <v>30803</v>
      </c>
      <c r="B122" s="89" t="str">
        <f>IF(FP="FP-24","Emulsified asphalt-treated aggregate base*","Emulsified asphalt-treated aggregate base*")</f>
        <v>Emulsified asphalt-treated aggregate base*</v>
      </c>
      <c r="C122" s="218"/>
      <c r="D122" s="90"/>
      <c r="E122" s="91"/>
      <c r="F122" s="108" t="str">
        <f t="shared" si="4"/>
        <v>-</v>
      </c>
      <c r="G122" s="25"/>
      <c r="H122" s="25"/>
    </row>
    <row r="123" spans="1:8" x14ac:dyDescent="0.2">
      <c r="A123" s="67" t="s">
        <v>68</v>
      </c>
      <c r="B123" s="68"/>
      <c r="C123" s="58" t="s">
        <v>37</v>
      </c>
      <c r="D123" s="77" t="str">
        <f>IF(Units="US CUSTOMARY"," SQYD","m2")</f>
        <v xml:space="preserve"> SQYD</v>
      </c>
      <c r="E123" s="64"/>
      <c r="F123" s="66" t="s">
        <v>38</v>
      </c>
      <c r="G123" s="78"/>
      <c r="H123" s="25"/>
    </row>
    <row r="124" spans="1:8" ht="12.75" customHeight="1" x14ac:dyDescent="0.2">
      <c r="A124" s="97" t="s">
        <v>69</v>
      </c>
      <c r="B124" s="89" t="s">
        <v>70</v>
      </c>
      <c r="C124" s="218">
        <f>IF(Units="US Customary", 0.15, 0.18)</f>
        <v>0.15</v>
      </c>
      <c r="D124" s="90"/>
      <c r="E124" s="91"/>
      <c r="F124" s="108" t="str">
        <f>IF(ISNUMBER(D124),+C$124*D124, "-")</f>
        <v>-</v>
      </c>
      <c r="G124" s="25"/>
      <c r="H124" s="25"/>
    </row>
    <row r="125" spans="1:8" ht="12.75" customHeight="1" x14ac:dyDescent="0.2">
      <c r="A125" s="100" t="s">
        <v>71</v>
      </c>
      <c r="B125" s="192" t="s">
        <v>72</v>
      </c>
      <c r="C125" s="218"/>
      <c r="D125" s="95"/>
      <c r="E125" s="96"/>
      <c r="F125" s="108" t="str">
        <f>IF(ISNUMBER(D125),+C$124*D125, "-")</f>
        <v>-</v>
      </c>
      <c r="G125" s="25"/>
      <c r="H125" s="25"/>
    </row>
    <row r="126" spans="1:8" x14ac:dyDescent="0.2">
      <c r="A126" s="67" t="s">
        <v>73</v>
      </c>
      <c r="B126" s="68"/>
      <c r="C126" s="58" t="s">
        <v>37</v>
      </c>
      <c r="D126" s="77" t="str">
        <f>IF(Units="US CUSTOMARY"," Tons"," tonnes")</f>
        <v xml:space="preserve"> Tons</v>
      </c>
      <c r="E126" s="64"/>
      <c r="F126" s="66" t="s">
        <v>38</v>
      </c>
      <c r="G126" s="25"/>
      <c r="H126" s="25"/>
    </row>
    <row r="127" spans="1:8" ht="12.75" customHeight="1" x14ac:dyDescent="0.2">
      <c r="A127" s="97" t="s">
        <v>74</v>
      </c>
      <c r="B127" s="89" t="s">
        <v>75</v>
      </c>
      <c r="C127" s="219">
        <f>IF(Units="US Customary", 0.7, 0.77)</f>
        <v>0.7</v>
      </c>
      <c r="D127" s="90"/>
      <c r="E127" s="91"/>
      <c r="F127" s="108" t="str">
        <f>IF(ISNUMBER(D127),+C$127*D127, "-")</f>
        <v>-</v>
      </c>
      <c r="G127" s="78"/>
      <c r="H127" s="25"/>
    </row>
    <row r="128" spans="1:8" ht="12.75" customHeight="1" x14ac:dyDescent="0.2">
      <c r="A128" s="100" t="s">
        <v>76</v>
      </c>
      <c r="B128" s="192" t="s">
        <v>75</v>
      </c>
      <c r="C128" s="219"/>
      <c r="D128" s="95"/>
      <c r="E128" s="96"/>
      <c r="F128" s="108" t="str">
        <f t="shared" ref="F128:F129" si="5">IF(ISNUMBER(D128),+C$127*D128, "-")</f>
        <v>-</v>
      </c>
      <c r="G128" s="25"/>
      <c r="H128" s="25"/>
    </row>
    <row r="129" spans="1:8" ht="12.75" customHeight="1" x14ac:dyDescent="0.2">
      <c r="A129" s="97" t="s">
        <v>77</v>
      </c>
      <c r="B129" s="89" t="s">
        <v>78</v>
      </c>
      <c r="C129" s="220"/>
      <c r="D129" s="90"/>
      <c r="E129" s="91"/>
      <c r="F129" s="108" t="str">
        <f t="shared" si="5"/>
        <v>-</v>
      </c>
      <c r="G129" s="25"/>
      <c r="H129" s="25"/>
    </row>
    <row r="130" spans="1:8" x14ac:dyDescent="0.2">
      <c r="A130" s="67" t="s">
        <v>79</v>
      </c>
      <c r="B130" s="68"/>
      <c r="C130" s="76" t="s">
        <v>37</v>
      </c>
      <c r="D130" s="77" t="str">
        <f>IF(Units="US CUSTOMARY"," Tons"," tonnes")</f>
        <v xml:space="preserve"> Tons</v>
      </c>
      <c r="E130" s="71"/>
      <c r="F130" s="75" t="s">
        <v>38</v>
      </c>
      <c r="G130" s="25"/>
      <c r="H130" s="25"/>
    </row>
    <row r="131" spans="1:8" ht="12.75" customHeight="1" x14ac:dyDescent="0.2">
      <c r="A131" s="97" t="s">
        <v>80</v>
      </c>
      <c r="B131" s="89" t="s">
        <v>81</v>
      </c>
      <c r="C131" s="219">
        <f>IF(Units="US Customary",2.4, 2.65)</f>
        <v>2.4</v>
      </c>
      <c r="D131" s="98"/>
      <c r="E131" s="99"/>
      <c r="F131" s="137" t="str">
        <f>IF(ISNUMBER(D131),+C$131*D131, "-")</f>
        <v>-</v>
      </c>
      <c r="G131" s="78"/>
      <c r="H131" s="25"/>
    </row>
    <row r="132" spans="1:8" ht="22.5" x14ac:dyDescent="0.2">
      <c r="A132" s="100" t="s">
        <v>82</v>
      </c>
      <c r="B132" s="101" t="s">
        <v>83</v>
      </c>
      <c r="C132" s="219"/>
      <c r="D132" s="102"/>
      <c r="E132" s="103"/>
      <c r="F132" s="137" t="str">
        <f>IF(ISNUMBER(D132),+C$131*D132, "-")</f>
        <v>-</v>
      </c>
      <c r="G132" s="25"/>
      <c r="H132" s="25"/>
    </row>
    <row r="133" spans="1:8" ht="28.5" customHeight="1" x14ac:dyDescent="0.25">
      <c r="A133" s="213" t="s">
        <v>84</v>
      </c>
      <c r="B133" s="214"/>
      <c r="C133" s="82" t="s">
        <v>37</v>
      </c>
      <c r="D133" s="83" t="str">
        <f>IF(Units="US CUSTOMARY"," Tons"," tonnes")</f>
        <v xml:space="preserve"> Tons</v>
      </c>
      <c r="E133" s="84"/>
      <c r="F133" s="85" t="s">
        <v>38</v>
      </c>
      <c r="G133" s="25"/>
      <c r="H133" s="25"/>
    </row>
    <row r="134" spans="1:8" ht="12.75" customHeight="1" x14ac:dyDescent="0.2">
      <c r="A134" s="97" t="s">
        <v>85</v>
      </c>
      <c r="B134" s="89" t="s">
        <v>86</v>
      </c>
      <c r="C134" s="219">
        <f>IF(Units="US Customary",2.4, 2.65)</f>
        <v>2.4</v>
      </c>
      <c r="D134" s="98"/>
      <c r="E134" s="99"/>
      <c r="F134" s="137" t="str">
        <f>IF(ISNUMBER(D134),+C$134*D134, "-")</f>
        <v>-</v>
      </c>
      <c r="G134" s="78"/>
      <c r="H134" s="25"/>
    </row>
    <row r="135" spans="1:8" ht="23.25" customHeight="1" x14ac:dyDescent="0.2">
      <c r="A135" s="100" t="s">
        <v>87</v>
      </c>
      <c r="B135" s="101" t="s">
        <v>88</v>
      </c>
      <c r="C135" s="219"/>
      <c r="D135" s="102"/>
      <c r="E135" s="103"/>
      <c r="F135" s="137" t="str">
        <f>IF(ISNUMBER(D135),+C$134*D135, "-")</f>
        <v>-</v>
      </c>
      <c r="G135" s="25"/>
      <c r="H135" s="25"/>
    </row>
    <row r="136" spans="1:8" ht="15" x14ac:dyDescent="0.2">
      <c r="A136" s="221" t="str">
        <f>IF(FP="FP-24","Section 405 - Open-Graded Asphalt Friction","Section 405 - Open-Graded Asphalt Friction")</f>
        <v>Section 405 - Open-Graded Asphalt Friction</v>
      </c>
      <c r="B136" s="222"/>
      <c r="C136" s="76" t="s">
        <v>37</v>
      </c>
      <c r="D136" s="77" t="str">
        <f>IF(Units="US CUSTOMARY"," Tons"," tonnes")</f>
        <v xml:space="preserve"> Tons</v>
      </c>
      <c r="E136" s="71"/>
      <c r="F136" s="75" t="s">
        <v>38</v>
      </c>
      <c r="G136" s="48"/>
      <c r="H136" s="48"/>
    </row>
    <row r="137" spans="1:8" ht="15" x14ac:dyDescent="0.2">
      <c r="A137" s="97" t="str">
        <f>IF(FP="FP-03","40501","40501")</f>
        <v>40501</v>
      </c>
      <c r="B137" s="70" t="str">
        <f>IF(FP="FP-03","Continuous cold recylced aphalt base","Open-graded asphalt friction course")</f>
        <v>Open-graded asphalt friction course</v>
      </c>
      <c r="C137" s="142">
        <f>IF(Units="US Customary",2.4, 2.65)</f>
        <v>2.4</v>
      </c>
      <c r="D137" s="98"/>
      <c r="E137" s="99"/>
      <c r="F137" s="137" t="str">
        <f>IF(ISNUMBER(D137),+C$137*D137, "-")</f>
        <v>-</v>
      </c>
      <c r="G137" s="80"/>
      <c r="H137" s="17"/>
    </row>
    <row r="138" spans="1:8" ht="15" x14ac:dyDescent="0.25">
      <c r="A138" s="189" t="s">
        <v>104</v>
      </c>
      <c r="B138" s="104"/>
      <c r="C138" s="138"/>
      <c r="D138" s="147"/>
      <c r="E138" s="105"/>
      <c r="F138" s="139"/>
      <c r="G138" s="44"/>
      <c r="H138" s="44"/>
    </row>
    <row r="139" spans="1:8" ht="15" x14ac:dyDescent="0.25">
      <c r="A139" s="189"/>
      <c r="B139" s="81"/>
      <c r="C139" s="140"/>
      <c r="D139" s="148"/>
      <c r="E139" s="106"/>
      <c r="F139" s="141"/>
      <c r="G139" s="44"/>
      <c r="H139" s="44"/>
    </row>
    <row r="140" spans="1:8" ht="15" x14ac:dyDescent="0.25">
      <c r="A140" s="189"/>
      <c r="B140" s="81"/>
      <c r="C140" s="140"/>
      <c r="D140" s="148"/>
      <c r="E140" s="106"/>
      <c r="F140" s="141"/>
      <c r="G140" s="44"/>
      <c r="H140" s="44"/>
    </row>
    <row r="141" spans="1:8" ht="15" x14ac:dyDescent="0.25">
      <c r="A141" s="189"/>
      <c r="B141" s="81"/>
      <c r="C141" s="140"/>
      <c r="D141" s="148"/>
      <c r="E141" s="106"/>
      <c r="F141" s="141"/>
      <c r="G141" s="44"/>
      <c r="H141" s="44"/>
    </row>
    <row r="142" spans="1:8" ht="15" x14ac:dyDescent="0.25">
      <c r="A142" s="189"/>
      <c r="B142" s="81"/>
      <c r="C142" s="140"/>
      <c r="D142" s="148"/>
      <c r="E142" s="106"/>
      <c r="F142" s="141"/>
      <c r="G142" s="44"/>
      <c r="H142" s="44"/>
    </row>
    <row r="143" spans="1:8" ht="15" x14ac:dyDescent="0.25">
      <c r="A143" s="189"/>
      <c r="B143" s="81"/>
      <c r="C143" s="140"/>
      <c r="D143" s="148"/>
      <c r="E143" s="106"/>
      <c r="F143" s="141"/>
      <c r="G143" s="44"/>
      <c r="H143" s="44"/>
    </row>
    <row r="144" spans="1:8" ht="15" x14ac:dyDescent="0.25">
      <c r="A144" s="189"/>
      <c r="B144" s="81"/>
      <c r="C144" s="140"/>
      <c r="D144" s="148"/>
      <c r="E144" s="106"/>
      <c r="F144" s="141"/>
      <c r="G144" s="44"/>
      <c r="H144" s="44"/>
    </row>
    <row r="145" spans="1:8" ht="15" x14ac:dyDescent="0.25">
      <c r="A145" s="189"/>
      <c r="B145" s="81"/>
      <c r="C145" s="140"/>
      <c r="D145" s="148"/>
      <c r="E145" s="106"/>
      <c r="F145" s="141"/>
      <c r="G145" s="44"/>
      <c r="H145" s="44"/>
    </row>
    <row r="146" spans="1:8" ht="15" x14ac:dyDescent="0.25">
      <c r="A146" s="189"/>
      <c r="B146" s="81"/>
      <c r="C146" s="140"/>
      <c r="D146" s="148"/>
      <c r="E146" s="106"/>
      <c r="F146" s="141"/>
      <c r="G146" s="44"/>
      <c r="H146" s="44"/>
    </row>
    <row r="147" spans="1:8" ht="15" x14ac:dyDescent="0.25">
      <c r="A147" s="189"/>
      <c r="B147" s="81"/>
      <c r="C147" s="140"/>
      <c r="D147" s="148"/>
      <c r="E147" s="106"/>
      <c r="F147" s="141"/>
      <c r="G147" s="44"/>
      <c r="H147" s="44"/>
    </row>
    <row r="148" spans="1:8" ht="15" x14ac:dyDescent="0.25">
      <c r="A148" s="189"/>
      <c r="B148" s="81"/>
      <c r="C148" s="140"/>
      <c r="D148" s="148"/>
      <c r="E148" s="106"/>
      <c r="F148" s="141"/>
      <c r="G148" s="44"/>
      <c r="H148" s="44"/>
    </row>
    <row r="149" spans="1:8" ht="15" x14ac:dyDescent="0.25">
      <c r="A149" s="189"/>
      <c r="B149" s="81"/>
      <c r="C149" s="140"/>
      <c r="D149" s="148"/>
      <c r="E149" s="106"/>
      <c r="F149" s="141"/>
      <c r="G149" s="44"/>
      <c r="H149" s="44"/>
    </row>
    <row r="150" spans="1:8" ht="2.1" customHeight="1" x14ac:dyDescent="0.25">
      <c r="A150" s="189"/>
      <c r="B150" s="81"/>
      <c r="C150" s="140"/>
      <c r="D150" s="148"/>
      <c r="E150" s="106"/>
      <c r="F150" s="141"/>
      <c r="G150" s="44"/>
      <c r="H150" s="44"/>
    </row>
    <row r="151" spans="1:8" ht="2.1" customHeight="1" x14ac:dyDescent="0.25">
      <c r="A151" s="189"/>
      <c r="B151" s="81"/>
      <c r="C151" s="140"/>
      <c r="D151" s="148"/>
      <c r="E151" s="106"/>
      <c r="F151" s="141"/>
      <c r="G151" s="44"/>
      <c r="H151" s="44"/>
    </row>
    <row r="152" spans="1:8" ht="18" x14ac:dyDescent="0.25">
      <c r="A152" s="208" t="s">
        <v>34</v>
      </c>
      <c r="B152" s="208"/>
      <c r="C152" s="208"/>
      <c r="D152" s="208"/>
      <c r="E152" s="208"/>
      <c r="F152" s="208"/>
      <c r="G152" s="208"/>
      <c r="H152" s="208"/>
    </row>
    <row r="153" spans="1:8" x14ac:dyDescent="0.2">
      <c r="A153" s="7"/>
      <c r="B153" s="7"/>
      <c r="C153" s="11" t="s">
        <v>1</v>
      </c>
      <c r="D153" s="12" t="str">
        <f>+Sheet1!D2</f>
        <v>FP-24</v>
      </c>
      <c r="E153" s="8"/>
      <c r="F153" s="9"/>
      <c r="G153" s="9"/>
      <c r="H153" s="9"/>
    </row>
    <row r="154" spans="1:8" x14ac:dyDescent="0.2">
      <c r="A154" s="7"/>
      <c r="B154" s="7"/>
      <c r="C154" s="7"/>
      <c r="D154" s="10"/>
      <c r="E154" s="8"/>
      <c r="F154" s="9"/>
      <c r="G154" s="9"/>
      <c r="H154" s="9"/>
    </row>
    <row r="155" spans="1:8" x14ac:dyDescent="0.2">
      <c r="A155" s="11" t="s">
        <v>3</v>
      </c>
      <c r="B155" s="206" t="str">
        <f>+B4</f>
        <v>AZ Heidi Test(1)</v>
      </c>
      <c r="C155" s="206"/>
      <c r="D155" s="12"/>
      <c r="E155" s="12"/>
      <c r="F155" s="13"/>
      <c r="G155" s="14" t="s">
        <v>5</v>
      </c>
      <c r="H155" s="15">
        <f ca="1" xml:space="preserve"> TODAY()</f>
        <v>45532</v>
      </c>
    </row>
    <row r="156" spans="1:8" ht="5.25" customHeight="1" x14ac:dyDescent="0.2">
      <c r="A156" s="11"/>
      <c r="B156" s="206"/>
      <c r="C156" s="206"/>
      <c r="D156" s="12"/>
      <c r="E156" s="12"/>
      <c r="F156" s="13"/>
      <c r="G156" s="14"/>
      <c r="H156" s="15"/>
    </row>
    <row r="157" spans="1:8" x14ac:dyDescent="0.2">
      <c r="A157" s="11" t="s">
        <v>6</v>
      </c>
      <c r="B157" s="212" t="str">
        <f>+B6</f>
        <v>Heidi National Park</v>
      </c>
      <c r="C157" s="212"/>
      <c r="D157" s="212"/>
      <c r="E157" s="212"/>
      <c r="F157" s="212"/>
      <c r="G157" s="14" t="str">
        <f>+G6</f>
        <v xml:space="preserve">Schedule Type: </v>
      </c>
      <c r="H157" s="16" t="str">
        <f>+H6</f>
        <v>Base</v>
      </c>
    </row>
    <row r="158" spans="1:8" x14ac:dyDescent="0.2">
      <c r="A158" s="11"/>
      <c r="B158" s="206"/>
      <c r="C158" s="206"/>
      <c r="D158" s="206"/>
      <c r="E158" s="206"/>
      <c r="F158" s="206"/>
      <c r="G158" s="14" t="str">
        <f>+G8</f>
        <v>Schedule Letter:</v>
      </c>
      <c r="H158" s="16" t="str">
        <f>+H8</f>
        <v>B</v>
      </c>
    </row>
    <row r="159" spans="1:8" x14ac:dyDescent="0.2">
      <c r="A159" s="7"/>
      <c r="B159" s="7"/>
      <c r="C159" s="7"/>
      <c r="D159" s="8"/>
      <c r="E159" s="8"/>
      <c r="F159" s="9"/>
      <c r="G159" s="14" t="s">
        <v>12</v>
      </c>
      <c r="H159" s="13" t="str">
        <f>+Units</f>
        <v>US CUSTOMARY</v>
      </c>
    </row>
    <row r="160" spans="1:8" ht="6.75" customHeight="1" thickBot="1" x14ac:dyDescent="0.25">
      <c r="A160" s="7"/>
      <c r="B160" s="7"/>
      <c r="C160" s="7"/>
      <c r="D160" s="8"/>
      <c r="E160" s="8"/>
      <c r="F160" s="9"/>
      <c r="G160" s="14"/>
      <c r="H160" s="13"/>
    </row>
    <row r="161" spans="1:8" ht="19.5" customHeight="1" thickBot="1" x14ac:dyDescent="0.25">
      <c r="A161" s="129" t="s">
        <v>90</v>
      </c>
      <c r="B161" s="130"/>
      <c r="C161" s="130"/>
      <c r="D161" s="130"/>
      <c r="E161" s="130"/>
      <c r="F161" s="130"/>
      <c r="G161" s="130"/>
      <c r="H161" s="131"/>
    </row>
    <row r="162" spans="1:8" ht="5.25" customHeight="1" x14ac:dyDescent="0.2">
      <c r="A162" s="17"/>
      <c r="B162" s="43"/>
      <c r="C162" s="43"/>
      <c r="D162" s="44"/>
      <c r="E162" s="45"/>
      <c r="F162" s="44"/>
      <c r="G162" s="44"/>
      <c r="H162" s="44"/>
    </row>
    <row r="163" spans="1:8" ht="12.75" customHeight="1" x14ac:dyDescent="0.2">
      <c r="A163" s="221" t="str">
        <f>IF(FP="FP-24","Not applicable","Not applicable")</f>
        <v>Not applicable</v>
      </c>
      <c r="B163" s="225"/>
      <c r="C163" s="76" t="s">
        <v>37</v>
      </c>
      <c r="D163" s="77"/>
      <c r="E163" s="71"/>
      <c r="F163" s="75" t="s">
        <v>38</v>
      </c>
      <c r="G163" s="44"/>
      <c r="H163" s="44"/>
    </row>
    <row r="164" spans="1:8" ht="12.75" customHeight="1" x14ac:dyDescent="0.2">
      <c r="A164" s="69"/>
      <c r="B164" s="70"/>
      <c r="C164" s="142"/>
      <c r="D164" s="74"/>
      <c r="E164" s="72"/>
      <c r="F164" s="143" t="str">
        <f>IF(ISNUMBER(D164),+C$164*D164, "-")</f>
        <v>-</v>
      </c>
      <c r="G164" s="79"/>
      <c r="H164" s="44"/>
    </row>
    <row r="165" spans="1:8" ht="12.75" customHeight="1" x14ac:dyDescent="0.2">
      <c r="A165" s="221" t="str">
        <f>IF(FP="FP-24","Not applicable","Not applicable")</f>
        <v>Not applicable</v>
      </c>
      <c r="B165" s="226"/>
      <c r="C165" s="82" t="s">
        <v>37</v>
      </c>
      <c r="D165" s="83"/>
      <c r="E165" s="84"/>
      <c r="F165" s="85" t="s">
        <v>38</v>
      </c>
      <c r="G165" s="79"/>
      <c r="H165" s="44"/>
    </row>
    <row r="166" spans="1:8" ht="12.75" customHeight="1" x14ac:dyDescent="0.2">
      <c r="A166" s="69"/>
      <c r="B166" s="70"/>
      <c r="C166" s="142"/>
      <c r="D166" s="74"/>
      <c r="E166" s="72"/>
      <c r="F166" s="143" t="str">
        <f>IF(ISNUMBER(D166),+C$166*D166, "-")</f>
        <v>-</v>
      </c>
      <c r="G166" s="79"/>
      <c r="H166" s="48"/>
    </row>
    <row r="167" spans="1:8" ht="12.75" customHeight="1" x14ac:dyDescent="0.2">
      <c r="A167" s="67" t="str">
        <f>IF(FP="FP-24","Not applicable","Not applicable")</f>
        <v>Not applicable</v>
      </c>
      <c r="B167" s="68"/>
      <c r="C167" s="76" t="s">
        <v>37</v>
      </c>
      <c r="D167" s="77"/>
      <c r="E167" s="71"/>
      <c r="F167" s="75" t="s">
        <v>38</v>
      </c>
      <c r="G167" s="49"/>
      <c r="H167" s="50"/>
    </row>
    <row r="168" spans="1:8" x14ac:dyDescent="0.2">
      <c r="A168" s="97"/>
      <c r="B168" s="89"/>
      <c r="C168" s="219"/>
      <c r="D168" s="98"/>
      <c r="E168" s="99"/>
      <c r="F168" s="137" t="str">
        <f>IF(ISNUMBER(D168),+C$168*D168, "-")</f>
        <v>-</v>
      </c>
      <c r="G168" s="49"/>
      <c r="H168" s="50"/>
    </row>
    <row r="169" spans="1:8" x14ac:dyDescent="0.2">
      <c r="A169" s="97"/>
      <c r="B169" s="89"/>
      <c r="C169" s="220"/>
      <c r="D169" s="98"/>
      <c r="E169" s="99"/>
      <c r="F169" s="137" t="str">
        <f>IF(ISNUMBER(D169),+C$168*D169, "-")</f>
        <v>-</v>
      </c>
      <c r="G169" s="49"/>
      <c r="H169" s="50"/>
    </row>
    <row r="170" spans="1:8" ht="15" x14ac:dyDescent="0.25">
      <c r="A170" s="69"/>
      <c r="B170" s="70"/>
      <c r="C170" s="140"/>
      <c r="D170" s="195"/>
      <c r="E170" s="193"/>
      <c r="F170" s="194"/>
      <c r="G170" s="49"/>
      <c r="H170" s="50"/>
    </row>
    <row r="171" spans="1:8" ht="15" x14ac:dyDescent="0.25">
      <c r="A171" s="69"/>
      <c r="B171" s="70"/>
      <c r="C171" s="140"/>
      <c r="D171" s="195"/>
      <c r="E171" s="193"/>
      <c r="F171" s="194"/>
      <c r="G171" s="49"/>
      <c r="H171" s="50"/>
    </row>
    <row r="172" spans="1:8" x14ac:dyDescent="0.2">
      <c r="A172" s="46"/>
      <c r="B172" s="46"/>
      <c r="C172" s="46"/>
      <c r="D172" s="47"/>
      <c r="E172" s="47"/>
      <c r="F172" s="48"/>
      <c r="G172" s="48"/>
      <c r="H172" s="48"/>
    </row>
    <row r="173" spans="1:8" x14ac:dyDescent="0.2">
      <c r="A173" s="46"/>
      <c r="B173" s="46"/>
      <c r="C173" s="46"/>
      <c r="D173" s="47"/>
      <c r="E173" s="47"/>
      <c r="F173" s="48"/>
      <c r="G173" s="48"/>
      <c r="H173" s="48"/>
    </row>
    <row r="174" spans="1:8" x14ac:dyDescent="0.2">
      <c r="A174" s="107"/>
      <c r="B174" s="114"/>
      <c r="C174" s="115"/>
      <c r="D174" s="116" t="s">
        <v>91</v>
      </c>
      <c r="E174" s="115"/>
      <c r="F174" s="117">
        <f>SUM(F90:F137)+SUM(F163:F169)</f>
        <v>0</v>
      </c>
      <c r="G174" s="17"/>
      <c r="H174" s="17"/>
    </row>
    <row r="175" spans="1:8" ht="4.5" customHeight="1" x14ac:dyDescent="0.2">
      <c r="A175" s="17"/>
      <c r="B175" s="118"/>
      <c r="C175" s="43"/>
      <c r="D175" s="45"/>
      <c r="E175" s="45"/>
      <c r="F175" s="119"/>
      <c r="G175" s="44"/>
      <c r="H175" s="44"/>
    </row>
    <row r="176" spans="1:8" x14ac:dyDescent="0.2">
      <c r="A176" s="17"/>
      <c r="B176" s="120"/>
      <c r="C176" s="46"/>
      <c r="D176" s="109" t="s">
        <v>92</v>
      </c>
      <c r="E176" s="51"/>
      <c r="F176" s="149"/>
      <c r="G176" s="44"/>
      <c r="H176" s="44"/>
    </row>
    <row r="177" spans="1:8" ht="7.5" customHeight="1" x14ac:dyDescent="0.2">
      <c r="A177" s="17"/>
      <c r="B177" s="121"/>
      <c r="C177" s="46"/>
      <c r="D177" s="113"/>
      <c r="E177" s="51"/>
      <c r="F177" s="119"/>
      <c r="G177" s="44"/>
      <c r="H177" s="44"/>
    </row>
    <row r="178" spans="1:8" x14ac:dyDescent="0.2">
      <c r="A178" s="17"/>
      <c r="B178" s="121"/>
      <c r="C178" s="46"/>
      <c r="D178" s="109" t="s">
        <v>93</v>
      </c>
      <c r="E178" s="51"/>
      <c r="F178" s="122" t="str">
        <f>IF(F176&lt;&gt;"",F176*1.6,"-")</f>
        <v>-</v>
      </c>
      <c r="G178" s="44"/>
      <c r="H178" s="44"/>
    </row>
    <row r="179" spans="1:8" ht="5.25" customHeight="1" x14ac:dyDescent="0.2">
      <c r="A179" s="17"/>
      <c r="B179" s="121"/>
      <c r="C179" s="46"/>
      <c r="D179" s="113"/>
      <c r="E179" s="51"/>
      <c r="F179" s="119"/>
      <c r="G179" s="44"/>
      <c r="H179" s="44"/>
    </row>
    <row r="180" spans="1:8" x14ac:dyDescent="0.2">
      <c r="A180" s="46"/>
      <c r="B180" s="121"/>
      <c r="C180" s="46"/>
      <c r="D180" s="110" t="s">
        <v>94</v>
      </c>
      <c r="E180" s="47"/>
      <c r="F180" s="123" t="str">
        <f>IF(F174&lt;&gt;0,(1.6-1.1)*(F174*F176),"-")</f>
        <v>-</v>
      </c>
      <c r="G180" s="48"/>
      <c r="H180" s="48"/>
    </row>
    <row r="181" spans="1:8" ht="7.5" customHeight="1" x14ac:dyDescent="0.2">
      <c r="A181" s="46"/>
      <c r="B181" s="121"/>
      <c r="C181" s="46"/>
      <c r="D181" s="47"/>
      <c r="E181" s="47"/>
      <c r="F181" s="119"/>
      <c r="G181" s="52"/>
      <c r="H181" s="53"/>
    </row>
    <row r="182" spans="1:8" x14ac:dyDescent="0.2">
      <c r="A182" s="46"/>
      <c r="B182" s="121"/>
      <c r="C182" s="46"/>
      <c r="D182" s="110" t="s">
        <v>95</v>
      </c>
      <c r="E182" s="47"/>
      <c r="F182" s="150"/>
      <c r="G182" s="52"/>
      <c r="H182" s="53"/>
    </row>
    <row r="183" spans="1:8" ht="6.75" customHeight="1" x14ac:dyDescent="0.2">
      <c r="A183" s="46"/>
      <c r="B183" s="121"/>
      <c r="C183" s="46"/>
      <c r="D183" s="47"/>
      <c r="E183" s="47"/>
      <c r="F183" s="119"/>
      <c r="G183" s="52"/>
      <c r="H183" s="53"/>
    </row>
    <row r="184" spans="1:8" ht="18.75" customHeight="1" x14ac:dyDescent="0.2">
      <c r="A184" s="46"/>
      <c r="B184" s="124"/>
      <c r="C184" s="125"/>
      <c r="D184" s="126" t="s">
        <v>96</v>
      </c>
      <c r="E184" s="127"/>
      <c r="F184" s="128" t="str">
        <f>IF(F182&lt;&gt;"",(F180*F182)/100,"$0.00")</f>
        <v>$0.00</v>
      </c>
      <c r="G184" s="52"/>
      <c r="H184" s="53"/>
    </row>
    <row r="185" spans="1:8" ht="18.75" customHeight="1" x14ac:dyDescent="0.2">
      <c r="A185" s="46"/>
      <c r="B185" s="46"/>
      <c r="C185" s="46"/>
      <c r="D185" s="111"/>
      <c r="E185" s="47"/>
      <c r="F185" s="112"/>
      <c r="G185" s="52"/>
      <c r="H185" s="53"/>
    </row>
    <row r="186" spans="1:8" ht="18.75" customHeight="1" x14ac:dyDescent="0.2">
      <c r="A186" s="46"/>
      <c r="B186" s="46"/>
      <c r="C186" s="46"/>
      <c r="D186" s="111"/>
      <c r="E186" s="47"/>
      <c r="F186" s="112"/>
      <c r="G186" s="52"/>
      <c r="H186" s="53"/>
    </row>
    <row r="187" spans="1:8" x14ac:dyDescent="0.2">
      <c r="A187" s="46"/>
      <c r="B187" s="46"/>
      <c r="C187" s="46"/>
      <c r="D187" s="47"/>
      <c r="E187" s="47"/>
      <c r="F187" s="48"/>
      <c r="G187" s="52"/>
      <c r="H187" s="53"/>
    </row>
    <row r="188" spans="1:8" ht="6.75" customHeight="1" thickBot="1" x14ac:dyDescent="0.25">
      <c r="A188" s="7"/>
      <c r="B188" s="7"/>
      <c r="C188" s="7"/>
      <c r="D188" s="8"/>
      <c r="E188" s="8"/>
      <c r="F188" s="9"/>
      <c r="G188" s="14"/>
      <c r="H188" s="13"/>
    </row>
    <row r="189" spans="1:8" ht="19.5" customHeight="1" thickBot="1" x14ac:dyDescent="0.25">
      <c r="A189" s="132" t="s">
        <v>97</v>
      </c>
      <c r="B189" s="133"/>
      <c r="C189" s="133"/>
      <c r="D189" s="133"/>
      <c r="E189" s="133"/>
      <c r="F189" s="133"/>
      <c r="G189" s="133"/>
      <c r="H189" s="134"/>
    </row>
    <row r="190" spans="1:8" ht="5.25" customHeight="1" x14ac:dyDescent="0.2">
      <c r="A190" s="17"/>
      <c r="B190" s="43"/>
      <c r="C190" s="43"/>
      <c r="D190" s="44"/>
      <c r="E190" s="45"/>
      <c r="F190" s="44"/>
      <c r="G190" s="44"/>
      <c r="H190" s="44"/>
    </row>
    <row r="191" spans="1:8" x14ac:dyDescent="0.2">
      <c r="A191" s="46"/>
      <c r="B191" s="114"/>
      <c r="C191" s="115"/>
      <c r="D191" s="116" t="s">
        <v>98</v>
      </c>
      <c r="E191" s="115"/>
      <c r="F191" s="151"/>
      <c r="G191" s="52"/>
      <c r="H191" s="53"/>
    </row>
    <row r="192" spans="1:8" x14ac:dyDescent="0.2">
      <c r="A192" s="46"/>
      <c r="B192" s="118"/>
      <c r="C192" s="43"/>
      <c r="D192" s="45"/>
      <c r="E192" s="45"/>
      <c r="F192" s="119"/>
      <c r="G192" s="52"/>
      <c r="H192" s="53"/>
    </row>
    <row r="193" spans="1:8" x14ac:dyDescent="0.2">
      <c r="A193" s="46"/>
      <c r="B193" s="120"/>
      <c r="C193" s="46"/>
      <c r="D193" s="109" t="s">
        <v>99</v>
      </c>
      <c r="E193" s="51"/>
      <c r="F193" s="149"/>
      <c r="G193" s="52"/>
      <c r="H193" s="53"/>
    </row>
    <row r="194" spans="1:8" x14ac:dyDescent="0.2">
      <c r="A194" s="46"/>
      <c r="B194" s="121"/>
      <c r="C194" s="46"/>
      <c r="D194" s="113"/>
      <c r="E194" s="51"/>
      <c r="F194" s="119"/>
      <c r="G194" s="52"/>
      <c r="H194" s="53"/>
    </row>
    <row r="195" spans="1:8" x14ac:dyDescent="0.2">
      <c r="A195" s="46"/>
      <c r="B195" s="121"/>
      <c r="C195" s="46"/>
      <c r="D195" s="109" t="s">
        <v>93</v>
      </c>
      <c r="E195" s="51"/>
      <c r="F195" s="122" t="str">
        <f>IF(F193&lt;&gt;"",F193*1.6,"-")</f>
        <v>-</v>
      </c>
      <c r="G195" s="52"/>
      <c r="H195" s="53"/>
    </row>
    <row r="196" spans="1:8" x14ac:dyDescent="0.2">
      <c r="A196" s="46"/>
      <c r="B196" s="121"/>
      <c r="C196" s="46"/>
      <c r="D196" s="113"/>
      <c r="E196" s="51"/>
      <c r="F196" s="119"/>
      <c r="G196" s="52"/>
      <c r="H196" s="53"/>
    </row>
    <row r="197" spans="1:8" x14ac:dyDescent="0.2">
      <c r="A197" s="46"/>
      <c r="B197" s="121"/>
      <c r="C197" s="46"/>
      <c r="D197" s="110" t="s">
        <v>100</v>
      </c>
      <c r="E197" s="47"/>
      <c r="F197" s="123" t="str">
        <f>IF(F191&lt;&gt;0,(1.6-1.1)*(F193)*(F191*0.06),"-")</f>
        <v>-</v>
      </c>
      <c r="G197" s="52"/>
      <c r="H197" s="53"/>
    </row>
    <row r="198" spans="1:8" x14ac:dyDescent="0.2">
      <c r="A198" s="46"/>
      <c r="B198" s="121"/>
      <c r="C198" s="46"/>
      <c r="D198" s="47"/>
      <c r="E198" s="47"/>
      <c r="F198" s="119"/>
      <c r="G198" s="52"/>
      <c r="H198" s="53"/>
    </row>
    <row r="199" spans="1:8" x14ac:dyDescent="0.2">
      <c r="A199" s="46"/>
      <c r="B199" s="121"/>
      <c r="C199" s="46"/>
      <c r="D199" s="110" t="s">
        <v>95</v>
      </c>
      <c r="E199" s="47"/>
      <c r="F199" s="150"/>
      <c r="G199" s="52"/>
      <c r="H199" s="53"/>
    </row>
    <row r="200" spans="1:8" x14ac:dyDescent="0.2">
      <c r="A200" s="46"/>
      <c r="B200" s="121"/>
      <c r="C200" s="46"/>
      <c r="D200" s="47"/>
      <c r="E200" s="47"/>
      <c r="F200" s="119"/>
      <c r="G200" s="52"/>
      <c r="H200" s="53"/>
    </row>
    <row r="201" spans="1:8" x14ac:dyDescent="0.2">
      <c r="A201" s="46"/>
      <c r="B201" s="124"/>
      <c r="C201" s="125"/>
      <c r="D201" s="126" t="s">
        <v>101</v>
      </c>
      <c r="E201" s="127"/>
      <c r="F201" s="128" t="str">
        <f>IF(F199&lt;&gt;"",(F197*F199)/100,"$0.00")</f>
        <v>$0.00</v>
      </c>
      <c r="G201" s="48"/>
      <c r="H201" s="48"/>
    </row>
    <row r="202" spans="1:8" x14ac:dyDescent="0.2">
      <c r="A202" s="46"/>
      <c r="B202" s="46"/>
      <c r="C202" s="46"/>
      <c r="D202" s="47"/>
      <c r="E202" s="47"/>
      <c r="F202" s="48"/>
      <c r="G202" s="48"/>
      <c r="H202" s="48"/>
    </row>
    <row r="203" spans="1:8" x14ac:dyDescent="0.2">
      <c r="A203" s="54"/>
      <c r="B203" s="55"/>
      <c r="C203" s="55"/>
      <c r="D203" s="47"/>
      <c r="E203" s="47"/>
      <c r="F203" s="48"/>
      <c r="G203" s="48"/>
      <c r="H203" s="48"/>
    </row>
    <row r="204" spans="1:8" x14ac:dyDescent="0.2">
      <c r="A204" s="55"/>
      <c r="B204" s="55"/>
      <c r="C204" s="55"/>
      <c r="D204" s="47"/>
      <c r="E204" s="47"/>
      <c r="F204" s="48"/>
      <c r="G204" s="48"/>
      <c r="H204" s="48"/>
    </row>
    <row r="205" spans="1:8" x14ac:dyDescent="0.2">
      <c r="A205" s="55"/>
      <c r="B205" s="55"/>
      <c r="C205" s="55"/>
      <c r="D205" s="47"/>
      <c r="E205" s="47"/>
      <c r="F205" s="48"/>
      <c r="G205" s="48"/>
      <c r="H205" s="48"/>
    </row>
    <row r="206" spans="1:8" x14ac:dyDescent="0.2">
      <c r="A206" s="54"/>
      <c r="B206" s="55"/>
      <c r="C206" s="55"/>
      <c r="D206" s="47"/>
      <c r="E206" s="47"/>
      <c r="F206" s="48"/>
      <c r="G206" s="48"/>
      <c r="H206" s="48"/>
    </row>
    <row r="207" spans="1:8" x14ac:dyDescent="0.2">
      <c r="A207" s="55"/>
      <c r="B207" s="55"/>
      <c r="C207" s="55"/>
      <c r="D207" s="47"/>
      <c r="E207" s="47"/>
      <c r="F207" s="48"/>
      <c r="G207" s="48"/>
      <c r="H207" s="48"/>
    </row>
    <row r="208" spans="1:8" x14ac:dyDescent="0.2">
      <c r="A208" s="55"/>
      <c r="B208" s="55"/>
      <c r="C208" s="55"/>
      <c r="D208" s="47"/>
      <c r="E208" s="47"/>
      <c r="F208" s="48"/>
      <c r="G208" s="48"/>
      <c r="H208" s="48"/>
    </row>
    <row r="209" spans="1:8" ht="22.5" customHeight="1" x14ac:dyDescent="0.2">
      <c r="A209" s="54"/>
      <c r="B209" s="55"/>
      <c r="C209" s="55"/>
      <c r="D209" s="47"/>
      <c r="E209" s="47"/>
      <c r="F209" s="48"/>
      <c r="G209" s="48"/>
      <c r="H209" s="48"/>
    </row>
  </sheetData>
  <sheetProtection sheet="1" objects="1" scenarios="1"/>
  <dataConsolidate/>
  <mergeCells count="26">
    <mergeCell ref="A1:H1"/>
    <mergeCell ref="B6:F6"/>
    <mergeCell ref="A12:H12"/>
    <mergeCell ref="A30:H30"/>
    <mergeCell ref="A57:H57"/>
    <mergeCell ref="A79:H79"/>
    <mergeCell ref="B84:F84"/>
    <mergeCell ref="C91:C100"/>
    <mergeCell ref="C102:C110"/>
    <mergeCell ref="C112:C113"/>
    <mergeCell ref="C168:C169"/>
    <mergeCell ref="A42:H42"/>
    <mergeCell ref="A52:G52"/>
    <mergeCell ref="C134:C135"/>
    <mergeCell ref="A152:H152"/>
    <mergeCell ref="B157:F157"/>
    <mergeCell ref="A163:B163"/>
    <mergeCell ref="A165:B165"/>
    <mergeCell ref="A136:B136"/>
    <mergeCell ref="C115:C118"/>
    <mergeCell ref="C120:C122"/>
    <mergeCell ref="C124:C125"/>
    <mergeCell ref="C127:C129"/>
    <mergeCell ref="C131:C132"/>
    <mergeCell ref="A133:B133"/>
    <mergeCell ref="A65:G65"/>
  </mergeCells>
  <dataValidations count="12">
    <dataValidation type="whole" operator="greaterThanOrEqual" allowBlank="1" showInputMessage="1" showErrorMessage="1" error="Bid decimals set to zero._x000a__x000a_Contact Heidi Hirsbrunner (X3622)_x000a__x000a_to modify Incentive Spreadsheet." sqref="D168:D171 D120:D122 D124:D125 D127:D129 D131:D132 D134:D135 D164 D166 D137" xr:uid="{EADD4E95-55C2-494D-9A11-6453251BA0E9}">
      <formula1>0</formula1>
    </dataValidation>
    <dataValidation type="whole" operator="greaterThanOrEqual" allowBlank="1" showInputMessage="1" showErrorMessage="1" error="Bid decimals set to zero._x000a__x000a_Contact Heidi Hirsbrunner (X3622)_x000a_                 _x000a_to modify Incentive Spreadsheet." sqref="D112:D113" xr:uid="{681A172B-3617-4A09-B017-3D250046AD50}">
      <formula1>0</formula1>
    </dataValidation>
    <dataValidation type="whole" operator="greaterThanOrEqual" allowBlank="1" showInputMessage="1" showErrorMessage="1" error="Bid decimals set to zero._x000a__x000a_Contact Heidi Hirsbrunner (X3622) _x000a__x000a_to modify Incentive Spreadsheet." sqref="D102:D110" xr:uid="{C7C731D5-1146-4EBB-A1E8-67CADB197457}">
      <formula1>0</formula1>
    </dataValidation>
    <dataValidation type="whole" operator="greaterThanOrEqual" allowBlank="1" showInputMessage="1" showErrorMessage="1" error="Bid decimals set to zero._x000a__x000a_Contact Heidi Hirsbrunner (X3622)_x000a_                   _x000a_to modify Incentive Spreadsheet." sqref="D91:D100 D115:D118" xr:uid="{FC38AFC0-0ECB-4746-BCC3-5F85C715F875}">
      <formula1>0</formula1>
    </dataValidation>
    <dataValidation type="whole" operator="greaterThanOrEqual" allowBlank="1" showInputMessage="1" showErrorMessage="1" error="Bid decimals set to zero._x000a__x000a_Contact Heidi Hirsbrunner (X3622)_x000a_                _x000a_to modify Incentive Spreadsheet." sqref="D15 D17 D19 D21 D33 D23 D25 D27 D29 D35:D50" xr:uid="{BAE84C5D-C2B4-4F66-9477-05FEDF763596}">
      <formula1>0</formula1>
    </dataValidation>
    <dataValidation allowBlank="1" showErrorMessage="1" sqref="B94" xr:uid="{DD3F87D4-98D4-47B3-B6F5-75F1BDDD1908}"/>
    <dataValidation allowBlank="1" sqref="B82:C82 B155:C155" xr:uid="{690AD296-9BA0-47F3-B00F-041F616CD203}"/>
    <dataValidation allowBlank="1" showInputMessage="1" showErrorMessage="1" promptTitle="Enter project name" prompt="Example:  Pinto Basin Road" sqref="B6:F6" xr:uid="{6B634B0E-BDBA-46B5-A882-8462043F7B68}"/>
    <dataValidation allowBlank="1" showInputMessage="1" showErrorMessage="1" promptTitle="Enter project number" prompt="Example:  CA FTNP JOTR 11(5)" sqref="B4:C4" xr:uid="{441273BD-7A47-4237-BD7B-9F43B748CFA9}"/>
    <dataValidation type="whole" operator="greaterThanOrEqual" allowBlank="1" showInputMessage="1" showErrorMessage="1" error="Bid decimals set to zero._x000a__x000a_Contact Steve Chapman (X7801)_x000a_                   or_x000a_    Greg Kwock (X7987)_x000a__x000a_to modify Incentive Spreadsheet." sqref="D51 D138:D151" xr:uid="{15EFB849-D251-45B1-AC89-269A1D46DE9C}">
      <formula1>0</formula1>
    </dataValidation>
    <dataValidation type="list" showInputMessage="1" showErrorMessage="1" error="Please use drop-down menu to select a schedule" promptTitle="Select Schedule Type" prompt="Select Base, Option, or Alternate" sqref="H6" xr:uid="{EA05D324-C209-4CCF-8138-FE574485A386}">
      <formula1>"  , Base, Option, Alternate"</formula1>
    </dataValidation>
    <dataValidation type="list" allowBlank="1" showInputMessage="1" showErrorMessage="1" promptTitle="Choose Letter" prompt="If you need more than six schedules, then copy additional sheet tabs and calculate incentives separately for each schedule._x000a__x000a_Sheet tabs can be copied by left clicking the active tab, choosing 'Move or Copy', then clicking the &quot;Create Copy' checkbox." sqref="H8" xr:uid="{BE461005-9519-4CDA-877A-29C6F5D7DA5D}">
      <formula1>", A, B, C, D, E, F, G, W, X, Y, Z"</formula1>
    </dataValidation>
  </dataValidations>
  <printOptions horizontalCentered="1"/>
  <pageMargins left="0.45" right="0.45" top="0.6" bottom="0.25" header="0" footer="0.05"/>
  <pageSetup scale="81" fitToHeight="2" orientation="portrait" r:id="rId1"/>
  <headerFooter>
    <oddFooter>&amp;RRev. 04-23-2024</oddFooter>
  </headerFooter>
  <rowBreaks count="1" manualBreakCount="1">
    <brk id="78" max="7" man="1"/>
  </rowBreaks>
  <ignoredErrors>
    <ignoredError sqref="A112:A113 A115:A118 A124:A125 A127:A129 A131:A132 A134:A135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D6506-1174-46AA-B648-AEE870CB0751}">
  <dimension ref="A1:K209"/>
  <sheetViews>
    <sheetView workbookViewId="0">
      <selection sqref="A1:H1"/>
    </sheetView>
  </sheetViews>
  <sheetFormatPr defaultColWidth="9.140625" defaultRowHeight="12.75" x14ac:dyDescent="0.2"/>
  <cols>
    <col min="1" max="1" width="14.140625" style="6" bestFit="1" customWidth="1"/>
    <col min="2" max="2" width="31.7109375" style="6" customWidth="1"/>
    <col min="3" max="3" width="6.140625" style="6" customWidth="1"/>
    <col min="4" max="4" width="14.140625" style="37" customWidth="1"/>
    <col min="5" max="5" width="1.7109375" style="37" customWidth="1"/>
    <col min="6" max="6" width="12.42578125" style="38" customWidth="1"/>
    <col min="7" max="7" width="14.42578125" style="38" customWidth="1"/>
    <col min="8" max="8" width="16.7109375" style="38" bestFit="1" customWidth="1"/>
    <col min="9" max="16384" width="9.140625" style="6"/>
  </cols>
  <sheetData>
    <row r="1" spans="1:8" ht="18" x14ac:dyDescent="0.25">
      <c r="A1" s="208" t="s">
        <v>0</v>
      </c>
      <c r="B1" s="208"/>
      <c r="C1" s="208"/>
      <c r="D1" s="208"/>
      <c r="E1" s="208"/>
      <c r="F1" s="208"/>
      <c r="G1" s="208"/>
      <c r="H1" s="208"/>
    </row>
    <row r="2" spans="1:8" ht="15" x14ac:dyDescent="0.2">
      <c r="A2" s="7"/>
      <c r="B2" s="7"/>
      <c r="C2" s="11" t="s">
        <v>1</v>
      </c>
      <c r="D2" s="205" t="str">
        <f>+Sheet1!D2</f>
        <v>FP-24</v>
      </c>
      <c r="E2" s="8"/>
      <c r="F2" s="9"/>
      <c r="G2" s="9"/>
      <c r="H2" s="9"/>
    </row>
    <row r="3" spans="1:8" x14ac:dyDescent="0.2">
      <c r="A3" s="7"/>
      <c r="B3" s="7"/>
      <c r="C3" s="7"/>
      <c r="D3" s="10"/>
      <c r="E3" s="8"/>
      <c r="F3" s="9"/>
      <c r="G3" s="9"/>
      <c r="H3" s="9"/>
    </row>
    <row r="4" spans="1:8" x14ac:dyDescent="0.2">
      <c r="A4" s="11" t="s">
        <v>3</v>
      </c>
      <c r="B4" s="206" t="str">
        <f>+Sheet1!B4</f>
        <v>AZ Heidi Test(1)</v>
      </c>
      <c r="C4" s="206"/>
      <c r="D4" s="12"/>
      <c r="E4" s="12"/>
      <c r="F4" s="13"/>
      <c r="G4" s="14" t="s">
        <v>5</v>
      </c>
      <c r="H4" s="15">
        <f ca="1" xml:space="preserve"> TODAY()</f>
        <v>45532</v>
      </c>
    </row>
    <row r="5" spans="1:8" ht="6" customHeight="1" x14ac:dyDescent="0.2">
      <c r="A5" s="11"/>
      <c r="B5" s="206"/>
      <c r="C5" s="206"/>
      <c r="D5" s="12"/>
      <c r="E5" s="12"/>
      <c r="F5" s="13"/>
      <c r="G5" s="14"/>
      <c r="H5" s="15"/>
    </row>
    <row r="6" spans="1:8" ht="15" x14ac:dyDescent="0.2">
      <c r="A6" s="11" t="s">
        <v>6</v>
      </c>
      <c r="B6" s="212" t="str">
        <f>+Sheet1!B6</f>
        <v>Heidi National Park</v>
      </c>
      <c r="C6" s="212">
        <f>+Sheet1!C6</f>
        <v>0</v>
      </c>
      <c r="D6" s="212">
        <f>+Sheet1!D6</f>
        <v>0</v>
      </c>
      <c r="E6" s="212">
        <f>+Sheet1!E6</f>
        <v>0</v>
      </c>
      <c r="F6" s="212">
        <f>+Sheet1!F6</f>
        <v>0</v>
      </c>
      <c r="G6" s="153" t="s">
        <v>8</v>
      </c>
      <c r="H6" s="1" t="s">
        <v>9</v>
      </c>
    </row>
    <row r="7" spans="1:8" ht="5.25" customHeight="1" x14ac:dyDescent="0.2">
      <c r="A7" s="11"/>
      <c r="B7" s="206"/>
      <c r="C7" s="206"/>
      <c r="D7" s="206"/>
      <c r="E7" s="206"/>
      <c r="F7" s="206"/>
      <c r="G7" s="14"/>
      <c r="H7" s="16"/>
    </row>
    <row r="8" spans="1:8" ht="12.75" customHeight="1" x14ac:dyDescent="0.2">
      <c r="A8" s="11"/>
      <c r="B8" s="206"/>
      <c r="C8" s="206"/>
      <c r="D8" s="206"/>
      <c r="E8" s="206"/>
      <c r="F8" s="206"/>
      <c r="G8" s="14" t="s">
        <v>10</v>
      </c>
      <c r="H8" s="204" t="s">
        <v>105</v>
      </c>
    </row>
    <row r="9" spans="1:8" ht="6" customHeight="1" x14ac:dyDescent="0.2">
      <c r="A9" s="11"/>
      <c r="B9" s="206"/>
      <c r="C9" s="206"/>
      <c r="D9" s="206"/>
      <c r="E9" s="206"/>
      <c r="F9" s="206"/>
      <c r="G9" s="14"/>
      <c r="H9" s="16"/>
    </row>
    <row r="10" spans="1:8" ht="15" x14ac:dyDescent="0.2">
      <c r="A10" s="7"/>
      <c r="B10" s="7"/>
      <c r="C10" s="7"/>
      <c r="D10" s="8"/>
      <c r="E10" s="8"/>
      <c r="F10" s="9"/>
      <c r="G10" s="14" t="s">
        <v>12</v>
      </c>
      <c r="H10" s="205" t="str">
        <f>+Sheet1!H10</f>
        <v>US CUSTOMARY</v>
      </c>
    </row>
    <row r="11" spans="1:8" ht="13.5" thickBot="1" x14ac:dyDescent="0.25">
      <c r="A11" s="7"/>
      <c r="B11" s="7"/>
      <c r="C11" s="7"/>
      <c r="D11" s="8"/>
      <c r="E11" s="8"/>
      <c r="F11" s="9"/>
      <c r="G11" s="14"/>
      <c r="H11" s="13"/>
    </row>
    <row r="12" spans="1:8" ht="18.75" customHeight="1" thickBot="1" x14ac:dyDescent="0.25">
      <c r="A12" s="207" t="s">
        <v>14</v>
      </c>
      <c r="B12" s="207"/>
      <c r="C12" s="207"/>
      <c r="D12" s="207"/>
      <c r="E12" s="207"/>
      <c r="F12" s="207"/>
      <c r="G12" s="207"/>
      <c r="H12" s="207"/>
    </row>
    <row r="13" spans="1:8" x14ac:dyDescent="0.2">
      <c r="A13" s="17" t="s">
        <v>15</v>
      </c>
      <c r="B13" s="17"/>
      <c r="C13" s="17"/>
      <c r="D13" s="17" t="s">
        <v>16</v>
      </c>
      <c r="E13" s="17"/>
      <c r="F13" s="17"/>
      <c r="G13" s="17"/>
      <c r="H13" s="17"/>
    </row>
    <row r="14" spans="1:8" ht="13.5" thickBot="1" x14ac:dyDescent="0.25">
      <c r="A14" s="18" t="s">
        <v>17</v>
      </c>
      <c r="B14" s="19" t="s">
        <v>18</v>
      </c>
      <c r="C14" s="19"/>
      <c r="D14" s="20" t="str">
        <f>IF(Units="US CUSTOMARY"," (Ton or SY)"," (tonnes or m2)")</f>
        <v xml:space="preserve"> (Ton or SY)</v>
      </c>
      <c r="E14" s="21"/>
      <c r="F14" s="20" t="s">
        <v>19</v>
      </c>
      <c r="G14" s="20" t="str">
        <f>"Q_"&amp;IF(Units="US CUSTOMARY","Ton","t")&amp;" Unit Price"</f>
        <v>Q_Ton Unit Price</v>
      </c>
      <c r="H14" s="20" t="s">
        <v>20</v>
      </c>
    </row>
    <row r="15" spans="1:8" ht="13.5" thickTop="1" x14ac:dyDescent="0.2">
      <c r="A15" s="22" t="str">
        <f>IF(FP="FP-24","301","301")</f>
        <v>301</v>
      </c>
      <c r="B15" s="23" t="str">
        <f>IF(FP="FP-03","Untreated Aggregate Courses","Untreated Aggregate Courses")</f>
        <v>Untreated Aggregate Courses</v>
      </c>
      <c r="C15" s="23"/>
      <c r="D15" s="3"/>
      <c r="E15" s="144"/>
      <c r="F15" s="4"/>
      <c r="G15" s="25" t="str">
        <f>IF(ISNUMBER(F15),ROUND(F15*0.05,2),"-")</f>
        <v>-</v>
      </c>
      <c r="H15" s="25" t="str">
        <f>IF(AND(ISNUMBER(D15),ISNUMBER(F15)),D15*G15,"-")</f>
        <v>-</v>
      </c>
    </row>
    <row r="16" spans="1:8" ht="6" customHeight="1" x14ac:dyDescent="0.2">
      <c r="A16" s="22"/>
      <c r="B16" s="23"/>
      <c r="C16" s="23"/>
      <c r="D16" s="144"/>
      <c r="E16" s="144"/>
      <c r="F16" s="145"/>
      <c r="G16" s="25"/>
      <c r="H16" s="25"/>
    </row>
    <row r="17" spans="1:11" x14ac:dyDescent="0.2">
      <c r="A17" s="22" t="str">
        <f>IF(FP="FP-24","308","309")</f>
        <v>308</v>
      </c>
      <c r="B17" s="23" t="str">
        <f>IF(FP="FP-24","Emulsified Asphalt-Treated Base Course","Emulsified Asphalt-Treated Base Course")</f>
        <v>Emulsified Asphalt-Treated Base Course</v>
      </c>
      <c r="C17" s="23"/>
      <c r="D17" s="3"/>
      <c r="E17" s="144"/>
      <c r="F17" s="4"/>
      <c r="G17" s="25" t="str">
        <f>IF(ISNUMBER(F17),ROUND(F17*0.05,2),"-")</f>
        <v>-</v>
      </c>
      <c r="H17" s="25" t="str">
        <f>IF(AND(ISNUMBER(D17),ISNUMBER(F17)),D17*G17,"-")</f>
        <v>-</v>
      </c>
    </row>
    <row r="18" spans="1:11" ht="6" customHeight="1" x14ac:dyDescent="0.2">
      <c r="A18" s="22"/>
      <c r="B18" s="23"/>
      <c r="C18" s="23"/>
      <c r="D18" s="144"/>
      <c r="E18" s="144"/>
      <c r="F18" s="145"/>
      <c r="G18" s="25"/>
      <c r="H18" s="25"/>
    </row>
    <row r="19" spans="1:11" x14ac:dyDescent="0.2">
      <c r="A19" s="22" t="str">
        <f>IF(FP="FP-24","311","311")</f>
        <v>311</v>
      </c>
      <c r="B19" s="23" t="str">
        <f>IF(FP="FP-03","Aggregate Stabiliation","Stabilized Aggregate Surface Course")</f>
        <v>Stabilized Aggregate Surface Course</v>
      </c>
      <c r="C19" s="23"/>
      <c r="D19" s="3"/>
      <c r="E19" s="144"/>
      <c r="F19" s="4"/>
      <c r="G19" s="25" t="str">
        <f t="shared" ref="G19:G25" si="0">IF(ISNUMBER(F19),ROUND(F19*0.05,2),"-")</f>
        <v>-</v>
      </c>
      <c r="H19" s="25" t="str">
        <f>IF(AND(ISNUMBER(D19),ISNUMBER(F19)),D19*G19,"-")</f>
        <v>-</v>
      </c>
    </row>
    <row r="20" spans="1:11" ht="6" customHeight="1" x14ac:dyDescent="0.2">
      <c r="A20" s="22"/>
      <c r="B20" s="23"/>
      <c r="C20" s="23"/>
      <c r="D20" s="144"/>
      <c r="E20" s="144"/>
      <c r="F20" s="145"/>
      <c r="G20" s="25"/>
      <c r="H20" s="25"/>
    </row>
    <row r="21" spans="1:11" x14ac:dyDescent="0.2">
      <c r="A21" s="22" t="str">
        <f>IF(FP="FP-24","405","405")</f>
        <v>405</v>
      </c>
      <c r="B21" s="23" t="str">
        <f>IF(FP="FP-24","Open-Graded Asphalt Friction Course","Open-Graded Asphalt Friction Course")</f>
        <v>Open-Graded Asphalt Friction Course</v>
      </c>
      <c r="C21" s="23"/>
      <c r="D21" s="3"/>
      <c r="E21" s="144"/>
      <c r="F21" s="4"/>
      <c r="G21" s="25" t="str">
        <f t="shared" si="0"/>
        <v>-</v>
      </c>
      <c r="H21" s="25" t="str">
        <f>IF(AND(ISNUMBER(D21),ISNUMBER(F21)),D21*G21,"-")</f>
        <v>-</v>
      </c>
    </row>
    <row r="22" spans="1:11" ht="6" customHeight="1" x14ac:dyDescent="0.2">
      <c r="A22" s="22"/>
      <c r="B22" s="23"/>
      <c r="C22" s="23"/>
      <c r="D22" s="144"/>
      <c r="E22" s="144"/>
      <c r="F22" s="145"/>
      <c r="G22" s="25"/>
      <c r="H22" s="25"/>
    </row>
    <row r="23" spans="1:11" x14ac:dyDescent="0.2">
      <c r="A23" s="22" t="str">
        <f>IF(FP="FP-24","407","407")</f>
        <v>407</v>
      </c>
      <c r="B23" s="23" t="str">
        <f>IF(FP="FP-24","Chip Seal","Chip Seal")</f>
        <v>Chip Seal</v>
      </c>
      <c r="C23" s="23"/>
      <c r="D23" s="3"/>
      <c r="E23" s="144"/>
      <c r="F23" s="4"/>
      <c r="G23" s="25" t="str">
        <f t="shared" si="0"/>
        <v>-</v>
      </c>
      <c r="H23" s="25" t="str">
        <f>IF(AND(ISNUMBER(D23),ISNUMBER(F23)),D23*G23,"-")</f>
        <v>-</v>
      </c>
    </row>
    <row r="24" spans="1:11" ht="6" customHeight="1" x14ac:dyDescent="0.2">
      <c r="A24" s="22"/>
      <c r="B24" s="23"/>
      <c r="C24" s="23"/>
      <c r="D24" s="144"/>
      <c r="E24" s="144"/>
      <c r="F24" s="145"/>
      <c r="G24" s="25"/>
      <c r="H24" s="25"/>
    </row>
    <row r="25" spans="1:11" x14ac:dyDescent="0.2">
      <c r="A25" s="22" t="str">
        <f>IF(FP="FP-24","-","-")</f>
        <v>-</v>
      </c>
      <c r="B25" s="23" t="str">
        <f>IF(FP="FP-24","                      - ","                      -")</f>
        <v xml:space="preserve">                      - </v>
      </c>
      <c r="C25" s="23"/>
      <c r="D25" s="3"/>
      <c r="E25" s="144"/>
      <c r="F25" s="4"/>
      <c r="G25" s="25" t="str">
        <f t="shared" si="0"/>
        <v>-</v>
      </c>
      <c r="H25" s="25" t="str">
        <f>IF(AND(ISNUMBER(D25),ISNUMBER(F25)),D25*G25,"-")</f>
        <v>-</v>
      </c>
    </row>
    <row r="26" spans="1:11" ht="6" customHeight="1" x14ac:dyDescent="0.2">
      <c r="A26" s="22"/>
      <c r="B26" s="23"/>
      <c r="C26" s="23"/>
      <c r="D26" s="144"/>
      <c r="E26" s="144"/>
      <c r="F26" s="145"/>
      <c r="G26" s="25"/>
      <c r="H26" s="25"/>
    </row>
    <row r="27" spans="1:11" x14ac:dyDescent="0.2">
      <c r="A27" s="22"/>
      <c r="B27" s="23"/>
      <c r="C27" s="23"/>
      <c r="D27" s="144"/>
      <c r="E27" s="144"/>
      <c r="F27" s="145"/>
      <c r="G27" s="25"/>
      <c r="H27" s="25"/>
    </row>
    <row r="28" spans="1:11" ht="6" customHeight="1" x14ac:dyDescent="0.2">
      <c r="A28" s="22"/>
      <c r="B28" s="23"/>
      <c r="C28" s="23"/>
      <c r="D28" s="144"/>
      <c r="E28" s="144"/>
      <c r="F28" s="145"/>
      <c r="G28" s="25"/>
      <c r="H28" s="25"/>
    </row>
    <row r="29" spans="1:11" ht="13.5" thickBot="1" x14ac:dyDescent="0.25">
      <c r="A29" s="22"/>
      <c r="B29" s="23"/>
      <c r="C29" s="23"/>
      <c r="D29" s="144"/>
      <c r="E29" s="144"/>
      <c r="F29" s="145"/>
      <c r="G29" s="25"/>
      <c r="H29" s="25"/>
    </row>
    <row r="30" spans="1:11" ht="18.75" customHeight="1" thickBot="1" x14ac:dyDescent="0.25">
      <c r="A30" s="207" t="s">
        <v>21</v>
      </c>
      <c r="B30" s="207"/>
      <c r="C30" s="207"/>
      <c r="D30" s="207"/>
      <c r="E30" s="207"/>
      <c r="F30" s="207"/>
      <c r="G30" s="207"/>
      <c r="H30" s="207"/>
      <c r="K30" s="27"/>
    </row>
    <row r="31" spans="1:11" ht="13.5" customHeight="1" x14ac:dyDescent="0.2">
      <c r="A31" s="28" t="s">
        <v>15</v>
      </c>
      <c r="B31" s="28"/>
      <c r="C31" s="17"/>
      <c r="D31" s="17" t="s">
        <v>16</v>
      </c>
      <c r="E31" s="28"/>
      <c r="F31" s="28"/>
      <c r="G31" s="28"/>
      <c r="H31" s="28"/>
      <c r="K31" s="27"/>
    </row>
    <row r="32" spans="1:11" ht="13.5" customHeight="1" thickBot="1" x14ac:dyDescent="0.25">
      <c r="A32" s="18" t="s">
        <v>17</v>
      </c>
      <c r="B32" s="19" t="s">
        <v>18</v>
      </c>
      <c r="C32" s="19"/>
      <c r="D32" s="20" t="str">
        <f>IF(Units="US CUSTOMARY"," (Ton or SY)"," (tonnes or m2)")</f>
        <v xml:space="preserve"> (Ton or SY)</v>
      </c>
      <c r="E32" s="21"/>
      <c r="F32" s="20" t="s">
        <v>19</v>
      </c>
      <c r="G32" s="20" t="str">
        <f>"Q_"&amp;IF(Units="US CUSTOMARY","Ton","t")&amp;" Unit Price"</f>
        <v>Q_Ton Unit Price</v>
      </c>
      <c r="H32" s="20" t="s">
        <v>20</v>
      </c>
    </row>
    <row r="33" spans="1:8" ht="13.5" customHeight="1" thickTop="1" x14ac:dyDescent="0.2">
      <c r="A33" s="22" t="str">
        <f>IF(FP="FP-24","401","401")</f>
        <v>401</v>
      </c>
      <c r="B33" s="23" t="str">
        <f>IF(FP="FP-24","ACP by Gyratory Mix Design","ACP by Gyratory Mix Design")</f>
        <v>ACP by Gyratory Mix Design</v>
      </c>
      <c r="C33" s="23"/>
      <c r="D33" s="3"/>
      <c r="E33" s="144"/>
      <c r="F33" s="4"/>
      <c r="G33" s="25" t="str">
        <f>IF(ISNUMBER(F33),ROUND(F33*0.06,2),"-")</f>
        <v>-</v>
      </c>
      <c r="H33" s="25" t="str">
        <f>IF(AND(ISNUMBER(D33),ISNUMBER(F33)),D33*G33,"-")</f>
        <v>-</v>
      </c>
    </row>
    <row r="34" spans="1:8" ht="6" customHeight="1" x14ac:dyDescent="0.2">
      <c r="A34" s="22"/>
      <c r="B34" s="23"/>
      <c r="C34" s="23"/>
      <c r="D34" s="144"/>
      <c r="E34" s="144"/>
      <c r="F34" s="145"/>
      <c r="G34" s="25"/>
      <c r="H34" s="25"/>
    </row>
    <row r="35" spans="1:8" ht="13.5" customHeight="1" x14ac:dyDescent="0.2">
      <c r="A35" s="22" t="str">
        <f>IF(FP="FP-24","402","402")</f>
        <v>402</v>
      </c>
      <c r="B35" s="23" t="str">
        <f>IF(FP="FP-24","ACP by Hveem or Marshall Mix Design","ACP by Hveem or Marshall Mix Design")</f>
        <v>ACP by Hveem or Marshall Mix Design</v>
      </c>
      <c r="C35" s="23"/>
      <c r="D35" s="3"/>
      <c r="E35" s="144"/>
      <c r="F35" s="4"/>
      <c r="G35" s="25" t="str">
        <f>IF(ISNUMBER(F35),ROUND(F35*0.06,2),"-")</f>
        <v>-</v>
      </c>
      <c r="H35" s="25" t="str">
        <f>IF(AND(ISNUMBER(D35),ISNUMBER(F35)),D35*G35,"-")</f>
        <v>-</v>
      </c>
    </row>
    <row r="36" spans="1:8" ht="6" customHeight="1" x14ac:dyDescent="0.2">
      <c r="A36" s="22"/>
      <c r="B36" s="23"/>
      <c r="C36" s="23"/>
      <c r="D36" s="144"/>
      <c r="E36" s="144"/>
      <c r="F36" s="145"/>
      <c r="G36" s="25"/>
      <c r="H36" s="25"/>
    </row>
    <row r="37" spans="1:8" ht="13.5" customHeight="1" x14ac:dyDescent="0.2">
      <c r="A37" s="22" t="str">
        <f>IF(FP="FP-24","-","-")</f>
        <v>-</v>
      </c>
      <c r="B37" s="23" t="str">
        <f>IF(FP="FP-24","                      -","                      -")</f>
        <v xml:space="preserve">                      -</v>
      </c>
      <c r="C37" s="23"/>
      <c r="D37" s="3"/>
      <c r="E37" s="144"/>
      <c r="F37" s="4"/>
      <c r="G37" s="25" t="str">
        <f>IF(ISNUMBER(F37),ROUND(F37*0.06,2),"-")</f>
        <v>-</v>
      </c>
      <c r="H37" s="25" t="str">
        <f>IF(AND(ISNUMBER(D37),ISNUMBER(F37)),D37*G37,"-")</f>
        <v>-</v>
      </c>
    </row>
    <row r="38" spans="1:8" ht="6" customHeight="1" x14ac:dyDescent="0.2">
      <c r="A38" s="22"/>
      <c r="B38" s="23"/>
      <c r="C38" s="23"/>
      <c r="D38" s="144"/>
      <c r="E38" s="144"/>
      <c r="F38" s="145"/>
      <c r="G38" s="25"/>
      <c r="H38" s="25"/>
    </row>
    <row r="39" spans="1:8" x14ac:dyDescent="0.2">
      <c r="A39" s="22"/>
      <c r="B39" s="23"/>
      <c r="C39" s="23"/>
      <c r="D39" s="144"/>
      <c r="E39" s="144"/>
      <c r="F39" s="145"/>
      <c r="G39" s="25"/>
      <c r="H39" s="25"/>
    </row>
    <row r="40" spans="1:8" ht="6" customHeight="1" x14ac:dyDescent="0.2">
      <c r="A40" s="22"/>
      <c r="B40" s="23"/>
      <c r="C40" s="23"/>
      <c r="D40" s="144"/>
      <c r="E40" s="144"/>
      <c r="F40" s="145"/>
      <c r="G40" s="25"/>
      <c r="H40" s="25"/>
    </row>
    <row r="41" spans="1:8" ht="13.5" thickBot="1" x14ac:dyDescent="0.25">
      <c r="A41" s="22"/>
      <c r="B41" s="23"/>
      <c r="C41" s="23"/>
      <c r="D41" s="144"/>
      <c r="E41" s="144"/>
      <c r="F41" s="145"/>
      <c r="G41" s="25"/>
      <c r="H41" s="25"/>
    </row>
    <row r="42" spans="1:8" ht="18.75" customHeight="1" thickBot="1" x14ac:dyDescent="0.25">
      <c r="A42" s="207" t="s">
        <v>22</v>
      </c>
      <c r="B42" s="207"/>
      <c r="C42" s="207"/>
      <c r="D42" s="207"/>
      <c r="E42" s="207"/>
      <c r="F42" s="207"/>
      <c r="G42" s="207"/>
      <c r="H42" s="207"/>
    </row>
    <row r="43" spans="1:8" ht="13.5" customHeight="1" x14ac:dyDescent="0.2">
      <c r="A43" s="28" t="s">
        <v>15</v>
      </c>
      <c r="B43" s="28"/>
      <c r="C43" s="17"/>
      <c r="D43" s="17" t="s">
        <v>16</v>
      </c>
      <c r="E43" s="28"/>
      <c r="F43" s="28"/>
      <c r="G43" s="28"/>
      <c r="H43" s="28"/>
    </row>
    <row r="44" spans="1:8" ht="13.5" customHeight="1" thickBot="1" x14ac:dyDescent="0.25">
      <c r="A44" s="18" t="s">
        <v>17</v>
      </c>
      <c r="B44" s="19" t="s">
        <v>18</v>
      </c>
      <c r="C44" s="19"/>
      <c r="D44" s="20" t="str">
        <f>IF(Units="US CUSTOMARY"," (Ton or SY)"," (tonnes or m2)")</f>
        <v xml:space="preserve"> (Ton or SY)</v>
      </c>
      <c r="E44" s="21"/>
      <c r="F44" s="20" t="s">
        <v>19</v>
      </c>
      <c r="G44" s="20" t="str">
        <f>"Q_"&amp;IF(Units="US CUSTOMARY","Ton","t")&amp;" Unit Price"</f>
        <v>Q_Ton Unit Price</v>
      </c>
      <c r="H44" s="20" t="s">
        <v>20</v>
      </c>
    </row>
    <row r="45" spans="1:8" ht="13.5" customHeight="1" thickTop="1" x14ac:dyDescent="0.2">
      <c r="A45" s="22" t="str">
        <f>IF(FP="FP-24","404"," -")</f>
        <v>404</v>
      </c>
      <c r="B45" s="23" t="str">
        <f>IF(FP="FP-24","Thin Lift Asphalt Concrete Pavement","                      -")</f>
        <v>Thin Lift Asphalt Concrete Pavement</v>
      </c>
      <c r="C45" s="23"/>
      <c r="D45" s="3"/>
      <c r="E45" s="144"/>
      <c r="F45" s="4"/>
      <c r="G45" s="25" t="str">
        <f>IF(ISNUMBER(F45),ROUND(F45*0.01,2),"-")</f>
        <v>-</v>
      </c>
      <c r="H45" s="25" t="str">
        <f>IF(AND(ISNUMBER(D45),ISNUMBER(F45)),D45*G45,"-")</f>
        <v>-</v>
      </c>
    </row>
    <row r="46" spans="1:8" ht="6" customHeight="1" x14ac:dyDescent="0.2">
      <c r="A46" s="22"/>
      <c r="B46" s="23"/>
      <c r="C46" s="23"/>
      <c r="D46" s="144"/>
      <c r="E46" s="144"/>
      <c r="F46" s="145"/>
      <c r="G46" s="25"/>
      <c r="H46" s="25"/>
    </row>
    <row r="47" spans="1:8" ht="13.5" customHeight="1" x14ac:dyDescent="0.2">
      <c r="A47" s="22"/>
      <c r="B47" s="23"/>
      <c r="C47" s="23"/>
      <c r="D47" s="144"/>
      <c r="E47" s="144"/>
      <c r="F47" s="145"/>
      <c r="G47" s="25"/>
      <c r="H47" s="25"/>
    </row>
    <row r="48" spans="1:8" ht="6" customHeight="1" x14ac:dyDescent="0.2">
      <c r="A48" s="22"/>
      <c r="B48" s="23"/>
      <c r="C48" s="23"/>
      <c r="D48" s="144"/>
      <c r="E48" s="144"/>
      <c r="F48" s="145"/>
      <c r="G48" s="25"/>
      <c r="H48" s="25"/>
    </row>
    <row r="49" spans="1:8" ht="13.5" customHeight="1" x14ac:dyDescent="0.2">
      <c r="A49" s="22"/>
      <c r="B49" s="23"/>
      <c r="C49" s="23"/>
      <c r="D49" s="144"/>
      <c r="E49" s="144"/>
      <c r="F49" s="145"/>
      <c r="G49" s="25"/>
      <c r="H49" s="25"/>
    </row>
    <row r="50" spans="1:8" x14ac:dyDescent="0.2">
      <c r="A50" s="22"/>
      <c r="B50" s="23"/>
      <c r="C50" s="23"/>
      <c r="D50" s="24"/>
      <c r="E50" s="24"/>
      <c r="F50" s="26"/>
      <c r="G50" s="25"/>
      <c r="H50" s="25"/>
    </row>
    <row r="51" spans="1:8" x14ac:dyDescent="0.2">
      <c r="A51" s="7"/>
      <c r="B51" s="7"/>
      <c r="C51" s="7"/>
      <c r="D51" s="8"/>
      <c r="E51" s="8"/>
      <c r="F51" s="9"/>
      <c r="G51" s="9"/>
      <c r="H51" s="9"/>
    </row>
    <row r="52" spans="1:8" x14ac:dyDescent="0.2">
      <c r="A52" s="211" t="s">
        <v>23</v>
      </c>
      <c r="B52" s="211"/>
      <c r="C52" s="211"/>
      <c r="D52" s="211"/>
      <c r="E52" s="211"/>
      <c r="F52" s="211"/>
      <c r="G52" s="211"/>
      <c r="H52" s="29">
        <f>SUM(H15,H17,H19,H21,H23,H25,H33,H35,H37,H45)</f>
        <v>0</v>
      </c>
    </row>
    <row r="53" spans="1:8" x14ac:dyDescent="0.2">
      <c r="A53" s="31"/>
      <c r="B53" s="31"/>
      <c r="C53" s="31"/>
      <c r="D53" s="31"/>
      <c r="E53" s="31"/>
      <c r="F53" s="31"/>
      <c r="G53" s="31"/>
      <c r="H53" s="32"/>
    </row>
    <row r="54" spans="1:8" ht="6" customHeight="1" x14ac:dyDescent="0.2">
      <c r="A54" s="31"/>
      <c r="B54" s="31"/>
      <c r="C54" s="31"/>
      <c r="D54" s="31"/>
      <c r="E54" s="31"/>
      <c r="F54" s="31"/>
      <c r="G54" s="31"/>
      <c r="H54" s="32"/>
    </row>
    <row r="55" spans="1:8" x14ac:dyDescent="0.2">
      <c r="A55" s="31"/>
      <c r="B55" s="31"/>
      <c r="C55" s="31"/>
      <c r="D55" s="31"/>
      <c r="E55" s="31"/>
      <c r="F55" s="31"/>
      <c r="G55" s="31"/>
      <c r="H55" s="32"/>
    </row>
    <row r="56" spans="1:8" ht="13.5" thickBot="1" x14ac:dyDescent="0.25">
      <c r="A56" s="7"/>
      <c r="B56" s="7"/>
      <c r="C56" s="7"/>
      <c r="D56" s="8"/>
      <c r="E56" s="8"/>
      <c r="F56" s="9"/>
      <c r="G56" s="9"/>
      <c r="H56" s="9"/>
    </row>
    <row r="57" spans="1:8" ht="18.75" thickBot="1" x14ac:dyDescent="0.25">
      <c r="A57" s="210" t="s">
        <v>24</v>
      </c>
      <c r="B57" s="210"/>
      <c r="C57" s="210"/>
      <c r="D57" s="210"/>
      <c r="E57" s="210"/>
      <c r="F57" s="210"/>
      <c r="G57" s="210"/>
      <c r="H57" s="210"/>
    </row>
    <row r="58" spans="1:8" x14ac:dyDescent="0.2">
      <c r="A58" s="28" t="s">
        <v>15</v>
      </c>
      <c r="B58" s="28"/>
      <c r="C58" s="28"/>
      <c r="D58" s="28" t="s">
        <v>25</v>
      </c>
      <c r="E58" s="28"/>
      <c r="F58" s="28"/>
      <c r="G58" s="28"/>
      <c r="H58" s="28"/>
    </row>
    <row r="59" spans="1:8" ht="13.5" thickBot="1" x14ac:dyDescent="0.25">
      <c r="A59" s="18" t="s">
        <v>17</v>
      </c>
      <c r="B59" s="19" t="s">
        <v>18</v>
      </c>
      <c r="C59" s="19"/>
      <c r="D59" s="21" t="str">
        <f>"Lane-"&amp;IF(Units="US CUSTOMARY","miles","kilometers")</f>
        <v>Lane-miles</v>
      </c>
      <c r="E59" s="21"/>
      <c r="F59" s="20"/>
      <c r="G59" s="20"/>
      <c r="H59" s="20" t="s">
        <v>20</v>
      </c>
    </row>
    <row r="60" spans="1:8" ht="13.5" thickTop="1" x14ac:dyDescent="0.2">
      <c r="A60" s="22">
        <v>401</v>
      </c>
      <c r="B60" s="7" t="s">
        <v>103</v>
      </c>
      <c r="C60" s="7"/>
      <c r="D60" s="5"/>
      <c r="E60" s="33"/>
      <c r="F60" s="25"/>
      <c r="G60" s="25"/>
      <c r="H60" s="25" t="str">
        <f>IF(ISNUMBER(D60),IF(FP="FP-14",(IF(Units="US CUSTOMARY",80000,49600)*(1.05-1)*D60),(IF(FP="FP-24",(IF(Units="Us Customary",100000,62200)*(1.05-1)*D60)))),"-")</f>
        <v>-</v>
      </c>
    </row>
    <row r="61" spans="1:8" ht="6" customHeight="1" x14ac:dyDescent="0.2">
      <c r="A61" s="22"/>
      <c r="B61" s="7"/>
      <c r="C61" s="7"/>
      <c r="D61" s="146"/>
      <c r="E61" s="33"/>
      <c r="F61" s="25"/>
      <c r="G61" s="25"/>
      <c r="H61" s="25"/>
    </row>
    <row r="62" spans="1:8" x14ac:dyDescent="0.2">
      <c r="A62" s="22">
        <v>402</v>
      </c>
      <c r="B62" s="7" t="str">
        <f>IF(FP="FP-03","Hot ACP By Hveem or Marshall Mix Design","ACP By Hveem or Marshall Mix Design")</f>
        <v>ACP By Hveem or Marshall Mix Design</v>
      </c>
      <c r="C62" s="7"/>
      <c r="D62" s="5"/>
      <c r="E62" s="33"/>
      <c r="F62" s="25"/>
      <c r="G62" s="25"/>
      <c r="H62" s="25" t="str">
        <f>IF(ISNUMBER(D62),IF(FP="FP-14",(IF(Units="US CUSTOMARY",80000,49600)*(1.05-1)*D62),(IF(FP="FP-24",(IF(Units="Us Customary",100000,62200)*(1.05-1)*D62)))),"-")</f>
        <v>-</v>
      </c>
    </row>
    <row r="63" spans="1:8" x14ac:dyDescent="0.2">
      <c r="A63" s="22"/>
      <c r="B63" s="7"/>
      <c r="C63" s="7"/>
      <c r="D63" s="33"/>
      <c r="E63" s="33"/>
      <c r="F63" s="25"/>
      <c r="G63" s="25"/>
      <c r="H63" s="25"/>
    </row>
    <row r="64" spans="1:8" x14ac:dyDescent="0.2">
      <c r="A64" s="7"/>
      <c r="B64" s="7"/>
      <c r="C64" s="7"/>
      <c r="D64" s="8"/>
      <c r="E64" s="8"/>
      <c r="F64" s="9"/>
      <c r="G64" s="9"/>
      <c r="H64" s="9"/>
    </row>
    <row r="65" spans="1:8" x14ac:dyDescent="0.2">
      <c r="A65" s="211" t="s">
        <v>26</v>
      </c>
      <c r="B65" s="211"/>
      <c r="C65" s="211"/>
      <c r="D65" s="211"/>
      <c r="E65" s="211"/>
      <c r="F65" s="211"/>
      <c r="G65" s="211"/>
      <c r="H65" s="34">
        <f>SUM(H60,H62)</f>
        <v>0</v>
      </c>
    </row>
    <row r="66" spans="1:8" x14ac:dyDescent="0.2">
      <c r="A66" s="7"/>
      <c r="B66" s="7"/>
      <c r="C66" s="7"/>
      <c r="D66" s="8"/>
      <c r="E66" s="8"/>
      <c r="F66" s="9"/>
      <c r="G66" s="35"/>
      <c r="H66" s="36"/>
    </row>
    <row r="67" spans="1:8" x14ac:dyDescent="0.2">
      <c r="A67" s="39" t="s">
        <v>27</v>
      </c>
      <c r="B67" s="40" t="s">
        <v>28</v>
      </c>
      <c r="C67" s="40"/>
      <c r="D67" s="8"/>
      <c r="E67" s="8"/>
      <c r="F67" s="9"/>
      <c r="G67" s="9"/>
      <c r="H67" s="9"/>
    </row>
    <row r="68" spans="1:8" x14ac:dyDescent="0.2">
      <c r="A68" s="40"/>
      <c r="B68" s="40" t="s">
        <v>29</v>
      </c>
      <c r="C68" s="40"/>
      <c r="D68" s="8"/>
      <c r="E68" s="8"/>
      <c r="F68" s="9"/>
      <c r="G68" s="9"/>
      <c r="H68" s="9"/>
    </row>
    <row r="69" spans="1:8" x14ac:dyDescent="0.2">
      <c r="A69" s="40"/>
      <c r="B69" s="40"/>
      <c r="C69" s="40"/>
      <c r="D69" s="8"/>
      <c r="E69" s="8"/>
      <c r="F69" s="9"/>
      <c r="G69" s="9"/>
      <c r="H69" s="9"/>
    </row>
    <row r="70" spans="1:8" x14ac:dyDescent="0.2">
      <c r="A70" s="39" t="s">
        <v>30</v>
      </c>
      <c r="B70" s="40" t="s">
        <v>31</v>
      </c>
      <c r="C70" s="40"/>
      <c r="D70" s="8"/>
      <c r="E70" s="8"/>
      <c r="F70" s="9"/>
      <c r="G70" s="9"/>
      <c r="H70" s="9"/>
    </row>
    <row r="71" spans="1:8" x14ac:dyDescent="0.2">
      <c r="A71" s="40"/>
      <c r="B71" s="40" t="s">
        <v>29</v>
      </c>
      <c r="C71" s="40"/>
      <c r="D71" s="8"/>
      <c r="E71" s="8"/>
      <c r="F71" s="9"/>
      <c r="G71" s="9"/>
      <c r="H71" s="9"/>
    </row>
    <row r="72" spans="1:8" x14ac:dyDescent="0.2">
      <c r="A72" s="7"/>
      <c r="B72" s="7"/>
      <c r="C72" s="40"/>
      <c r="D72" s="8"/>
      <c r="E72" s="8"/>
      <c r="F72" s="9"/>
      <c r="G72" s="9"/>
      <c r="H72" s="9"/>
    </row>
    <row r="73" spans="1:8" x14ac:dyDescent="0.2">
      <c r="A73" s="39" t="s">
        <v>32</v>
      </c>
      <c r="B73" s="40" t="s">
        <v>31</v>
      </c>
      <c r="C73" s="40"/>
      <c r="D73" s="8"/>
      <c r="E73" s="8"/>
      <c r="F73" s="9"/>
      <c r="G73" s="9"/>
      <c r="H73" s="9"/>
    </row>
    <row r="74" spans="1:8" x14ac:dyDescent="0.2">
      <c r="A74" s="40"/>
      <c r="B74" s="40" t="s">
        <v>29</v>
      </c>
      <c r="C74" s="40"/>
      <c r="D74" s="8"/>
      <c r="E74" s="8"/>
      <c r="F74" s="9"/>
      <c r="G74" s="9"/>
      <c r="H74" s="9"/>
    </row>
    <row r="75" spans="1:8" x14ac:dyDescent="0.2">
      <c r="A75" s="40"/>
      <c r="B75" s="40"/>
      <c r="C75" s="40"/>
      <c r="D75" s="8"/>
      <c r="E75" s="8"/>
      <c r="F75" s="9"/>
      <c r="G75" s="9"/>
      <c r="H75" s="9"/>
    </row>
    <row r="76" spans="1:8" x14ac:dyDescent="0.2">
      <c r="A76" s="190" t="s">
        <v>33</v>
      </c>
      <c r="B76" s="191" t="str">
        <f>"Incentive Amt = (Lane-"&amp;IF(Units="US CUSTOMARY","miles","kilometers")&amp;" x "&amp;IF(FP="FP-14",IF(Units="US CUSTOMARY","80,000 x 0.05)","49,600 x 0.05)"),IF(FP="FP-24",IF(Units="US CUSTOMARY","100,000 x 0.05)","62,200 x 0.05)")))</f>
        <v>Incentive Amt = (Lane-miles x 100,000 x 0.05)</v>
      </c>
      <c r="C76" s="40"/>
      <c r="D76" s="8"/>
      <c r="E76" s="8"/>
      <c r="F76" s="9"/>
      <c r="G76" s="9"/>
      <c r="H76" s="9"/>
    </row>
    <row r="77" spans="1:8" x14ac:dyDescent="0.2">
      <c r="A77" s="190"/>
      <c r="B77" s="191"/>
      <c r="C77" s="40"/>
      <c r="D77" s="8"/>
      <c r="E77" s="8"/>
      <c r="F77" s="9"/>
      <c r="G77" s="9"/>
      <c r="H77" s="9"/>
    </row>
    <row r="78" spans="1:8" x14ac:dyDescent="0.2">
      <c r="A78" s="190"/>
      <c r="B78" s="191"/>
      <c r="C78" s="40"/>
      <c r="D78" s="8"/>
      <c r="E78" s="8"/>
      <c r="F78" s="9"/>
      <c r="G78" s="9"/>
      <c r="H78" s="9"/>
    </row>
    <row r="79" spans="1:8" ht="18" x14ac:dyDescent="0.25">
      <c r="A79" s="208" t="s">
        <v>34</v>
      </c>
      <c r="B79" s="208"/>
      <c r="C79" s="208"/>
      <c r="D79" s="208"/>
      <c r="E79" s="208"/>
      <c r="F79" s="208"/>
      <c r="G79" s="208"/>
      <c r="H79" s="208"/>
    </row>
    <row r="80" spans="1:8" x14ac:dyDescent="0.2">
      <c r="A80" s="7"/>
      <c r="B80" s="7"/>
      <c r="C80" s="11" t="s">
        <v>1</v>
      </c>
      <c r="D80" s="12" t="str">
        <f>+Sheet1!D2</f>
        <v>FP-24</v>
      </c>
      <c r="E80" s="8"/>
      <c r="F80" s="9"/>
      <c r="G80" s="9"/>
      <c r="H80" s="9"/>
    </row>
    <row r="81" spans="1:8" x14ac:dyDescent="0.2">
      <c r="A81" s="7"/>
      <c r="B81" s="7"/>
      <c r="C81" s="7"/>
      <c r="D81" s="10"/>
      <c r="E81" s="8"/>
      <c r="F81" s="9"/>
      <c r="G81" s="9"/>
      <c r="H81" s="9"/>
    </row>
    <row r="82" spans="1:8" x14ac:dyDescent="0.2">
      <c r="A82" s="11" t="s">
        <v>3</v>
      </c>
      <c r="B82" s="206" t="str">
        <f>+B4</f>
        <v>AZ Heidi Test(1)</v>
      </c>
      <c r="C82" s="206"/>
      <c r="D82" s="12"/>
      <c r="E82" s="12"/>
      <c r="F82" s="13"/>
      <c r="G82" s="14" t="s">
        <v>5</v>
      </c>
      <c r="H82" s="15">
        <f ca="1" xml:space="preserve"> TODAY()</f>
        <v>45532</v>
      </c>
    </row>
    <row r="83" spans="1:8" ht="4.5" customHeight="1" x14ac:dyDescent="0.2">
      <c r="A83" s="11"/>
      <c r="B83" s="206"/>
      <c r="C83" s="206"/>
      <c r="D83" s="12"/>
      <c r="E83" s="12"/>
      <c r="F83" s="13"/>
      <c r="G83" s="14"/>
      <c r="H83" s="15"/>
    </row>
    <row r="84" spans="1:8" x14ac:dyDescent="0.2">
      <c r="A84" s="11" t="s">
        <v>6</v>
      </c>
      <c r="B84" s="212" t="str">
        <f>+B6</f>
        <v>Heidi National Park</v>
      </c>
      <c r="C84" s="212"/>
      <c r="D84" s="212"/>
      <c r="E84" s="212"/>
      <c r="F84" s="212"/>
      <c r="G84" s="14" t="str">
        <f>+G6</f>
        <v xml:space="preserve">Schedule Type: </v>
      </c>
      <c r="H84" s="16" t="str">
        <f>+H6</f>
        <v>Base</v>
      </c>
    </row>
    <row r="85" spans="1:8" x14ac:dyDescent="0.2">
      <c r="A85" s="11"/>
      <c r="B85" s="206"/>
      <c r="C85" s="206"/>
      <c r="D85" s="206"/>
      <c r="E85" s="206"/>
      <c r="F85" s="206"/>
      <c r="G85" s="14" t="str">
        <f>+G8</f>
        <v>Schedule Letter:</v>
      </c>
      <c r="H85" s="16" t="str">
        <f>+H8</f>
        <v>C</v>
      </c>
    </row>
    <row r="86" spans="1:8" x14ac:dyDescent="0.2">
      <c r="A86" s="7"/>
      <c r="B86" s="7"/>
      <c r="C86" s="7"/>
      <c r="D86" s="8"/>
      <c r="E86" s="8"/>
      <c r="F86" s="9"/>
      <c r="G86" s="14" t="s">
        <v>12</v>
      </c>
      <c r="H86" s="13" t="str">
        <f>+Units</f>
        <v>US CUSTOMARY</v>
      </c>
    </row>
    <row r="87" spans="1:8" ht="6.75" customHeight="1" thickBot="1" x14ac:dyDescent="0.25">
      <c r="A87" s="7"/>
      <c r="B87" s="7"/>
      <c r="C87" s="7"/>
      <c r="D87" s="8"/>
      <c r="E87" s="8"/>
      <c r="F87" s="9"/>
      <c r="G87" s="14"/>
      <c r="H87" s="13"/>
    </row>
    <row r="88" spans="1:8" ht="19.5" customHeight="1" thickBot="1" x14ac:dyDescent="0.25">
      <c r="A88" s="129" t="s">
        <v>35</v>
      </c>
      <c r="B88" s="130"/>
      <c r="C88" s="130"/>
      <c r="D88" s="130"/>
      <c r="E88" s="130"/>
      <c r="F88" s="130"/>
      <c r="G88" s="130"/>
      <c r="H88" s="131"/>
    </row>
    <row r="89" spans="1:8" ht="5.25" customHeight="1" x14ac:dyDescent="0.2">
      <c r="A89" s="17"/>
      <c r="B89" s="43"/>
      <c r="C89" s="43"/>
      <c r="D89" s="44"/>
      <c r="E89" s="45"/>
      <c r="F89" s="44"/>
      <c r="G89" s="44"/>
      <c r="H89" s="44"/>
    </row>
    <row r="90" spans="1:8" x14ac:dyDescent="0.2">
      <c r="A90" s="56" t="s">
        <v>36</v>
      </c>
      <c r="B90" s="57"/>
      <c r="C90" s="58" t="s">
        <v>37</v>
      </c>
      <c r="D90" s="59" t="str">
        <f>IF(Units="US CUSTOMARY"," CUYD"," m3")</f>
        <v xml:space="preserve"> CUYD</v>
      </c>
      <c r="E90" s="60"/>
      <c r="F90" s="61" t="s">
        <v>38</v>
      </c>
      <c r="G90" s="44"/>
      <c r="H90" s="44"/>
    </row>
    <row r="91" spans="1:8" x14ac:dyDescent="0.2">
      <c r="A91" s="87">
        <v>20401</v>
      </c>
      <c r="B91" s="88" t="s">
        <v>39</v>
      </c>
      <c r="C91" s="215">
        <f>IF(Units="US Customary", 0.3, 0.39)</f>
        <v>0.3</v>
      </c>
      <c r="D91" s="90"/>
      <c r="E91" s="91"/>
      <c r="F91" s="108" t="str">
        <f>IF(ISNUMBER(D91),+C$91*D91, "-")</f>
        <v>-</v>
      </c>
      <c r="G91" s="25"/>
      <c r="H91" s="25"/>
    </row>
    <row r="92" spans="1:8" ht="12.75" customHeight="1" x14ac:dyDescent="0.2">
      <c r="A92" s="87">
        <v>20402</v>
      </c>
      <c r="B92" s="88" t="s">
        <v>40</v>
      </c>
      <c r="C92" s="216"/>
      <c r="D92" s="90"/>
      <c r="E92" s="91"/>
      <c r="F92" s="108" t="str">
        <f t="shared" ref="F92:F100" si="1">IF(ISNUMBER(D92),+C$91*D92, "-")</f>
        <v>-</v>
      </c>
      <c r="G92" s="25"/>
      <c r="H92" s="25"/>
    </row>
    <row r="93" spans="1:8" ht="12.75" customHeight="1" x14ac:dyDescent="0.2">
      <c r="A93" s="87">
        <v>20403</v>
      </c>
      <c r="B93" s="88" t="s">
        <v>41</v>
      </c>
      <c r="C93" s="216"/>
      <c r="D93" s="90"/>
      <c r="E93" s="91"/>
      <c r="F93" s="108" t="str">
        <f t="shared" si="1"/>
        <v>-</v>
      </c>
      <c r="G93" s="25"/>
      <c r="H93" s="25"/>
    </row>
    <row r="94" spans="1:8" ht="12.75" customHeight="1" x14ac:dyDescent="0.2">
      <c r="A94" s="87">
        <v>20404</v>
      </c>
      <c r="B94" s="89" t="s">
        <v>42</v>
      </c>
      <c r="C94" s="216"/>
      <c r="D94" s="90"/>
      <c r="E94" s="91"/>
      <c r="F94" s="108" t="str">
        <f t="shared" si="1"/>
        <v>-</v>
      </c>
      <c r="G94" s="25"/>
      <c r="H94" s="25"/>
    </row>
    <row r="95" spans="1:8" ht="12.75" customHeight="1" x14ac:dyDescent="0.2">
      <c r="A95" s="87">
        <v>20410</v>
      </c>
      <c r="B95" s="89" t="s">
        <v>43</v>
      </c>
      <c r="C95" s="216"/>
      <c r="D95" s="90"/>
      <c r="E95" s="91"/>
      <c r="F95" s="108" t="str">
        <f t="shared" si="1"/>
        <v>-</v>
      </c>
      <c r="G95" s="25"/>
      <c r="H95" s="25"/>
    </row>
    <row r="96" spans="1:8" ht="12.75" customHeight="1" x14ac:dyDescent="0.2">
      <c r="A96" s="87">
        <v>20411</v>
      </c>
      <c r="B96" s="89" t="s">
        <v>44</v>
      </c>
      <c r="C96" s="216"/>
      <c r="D96" s="90"/>
      <c r="E96" s="91"/>
      <c r="F96" s="108" t="str">
        <f t="shared" si="1"/>
        <v>-</v>
      </c>
      <c r="G96" s="25"/>
      <c r="H96" s="25"/>
    </row>
    <row r="97" spans="1:8" ht="12.75" customHeight="1" x14ac:dyDescent="0.2">
      <c r="A97" s="87" t="str">
        <f>IF(FP="FP-24","-","20415")</f>
        <v>-</v>
      </c>
      <c r="B97" s="88" t="str">
        <f>IF(FP="FP-24","                      -","Select topping")</f>
        <v xml:space="preserve">                      -</v>
      </c>
      <c r="C97" s="216"/>
      <c r="D97" s="90"/>
      <c r="E97" s="91"/>
      <c r="F97" s="108" t="str">
        <f t="shared" si="1"/>
        <v>-</v>
      </c>
      <c r="G97" s="25"/>
      <c r="H97" s="25"/>
    </row>
    <row r="98" spans="1:8" ht="12.75" customHeight="1" x14ac:dyDescent="0.2">
      <c r="A98" s="87" t="str">
        <f>IF(FP="FP-24","-","20416")</f>
        <v>-</v>
      </c>
      <c r="B98" s="88" t="str">
        <f>IF(FP="FP-24","                      -","Select topping")</f>
        <v xml:space="preserve">                      -</v>
      </c>
      <c r="C98" s="216"/>
      <c r="D98" s="90"/>
      <c r="E98" s="91"/>
      <c r="F98" s="108" t="str">
        <f t="shared" si="1"/>
        <v>-</v>
      </c>
      <c r="G98" s="25"/>
      <c r="H98" s="25"/>
    </row>
    <row r="99" spans="1:8" ht="12.75" customHeight="1" x14ac:dyDescent="0.2">
      <c r="A99" s="87">
        <v>20420</v>
      </c>
      <c r="B99" s="89" t="s">
        <v>45</v>
      </c>
      <c r="C99" s="216"/>
      <c r="D99" s="90"/>
      <c r="E99" s="91"/>
      <c r="F99" s="108" t="str">
        <f t="shared" si="1"/>
        <v>-</v>
      </c>
      <c r="G99" s="25"/>
      <c r="H99" s="25"/>
    </row>
    <row r="100" spans="1:8" ht="12.75" customHeight="1" x14ac:dyDescent="0.2">
      <c r="A100" s="87">
        <v>20421</v>
      </c>
      <c r="B100" s="89" t="s">
        <v>46</v>
      </c>
      <c r="C100" s="216"/>
      <c r="D100" s="90"/>
      <c r="E100" s="91"/>
      <c r="F100" s="108" t="str">
        <f t="shared" si="1"/>
        <v>-</v>
      </c>
      <c r="G100" s="25"/>
      <c r="H100" s="25"/>
    </row>
    <row r="101" spans="1:8" x14ac:dyDescent="0.2">
      <c r="A101" s="62" t="s">
        <v>47</v>
      </c>
      <c r="B101" s="63"/>
      <c r="C101" s="58" t="s">
        <v>37</v>
      </c>
      <c r="D101" s="59" t="str">
        <f>IF(Units="US CUSTOMARY"," Tons"," tonnes")</f>
        <v xml:space="preserve"> Tons</v>
      </c>
      <c r="E101" s="60"/>
      <c r="F101" s="61" t="s">
        <v>38</v>
      </c>
      <c r="G101" s="25"/>
      <c r="H101" s="25"/>
    </row>
    <row r="102" spans="1:8" x14ac:dyDescent="0.2">
      <c r="A102" s="87">
        <v>30101</v>
      </c>
      <c r="B102" s="89" t="s">
        <v>48</v>
      </c>
      <c r="C102" s="217">
        <f>IF(Units="US Customary", 0.7, 0.77)</f>
        <v>0.7</v>
      </c>
      <c r="D102" s="90"/>
      <c r="E102" s="91"/>
      <c r="F102" s="108" t="str">
        <f>IF(ISNUMBER(D102),+C$102*D102, "-")</f>
        <v>-</v>
      </c>
      <c r="G102" s="25"/>
      <c r="H102" s="25"/>
    </row>
    <row r="103" spans="1:8" x14ac:dyDescent="0.2">
      <c r="A103" s="87">
        <v>30102</v>
      </c>
      <c r="B103" s="89" t="s">
        <v>49</v>
      </c>
      <c r="C103" s="218"/>
      <c r="D103" s="90"/>
      <c r="E103" s="91"/>
      <c r="F103" s="108" t="str">
        <f t="shared" ref="F103:F110" si="2">IF(ISNUMBER(D103),+C$102*D103, "-")</f>
        <v>-</v>
      </c>
      <c r="G103" s="25"/>
      <c r="H103" s="25"/>
    </row>
    <row r="104" spans="1:8" x14ac:dyDescent="0.2">
      <c r="A104" s="87">
        <v>30103</v>
      </c>
      <c r="B104" s="89" t="s">
        <v>49</v>
      </c>
      <c r="C104" s="218"/>
      <c r="D104" s="90"/>
      <c r="E104" s="91"/>
      <c r="F104" s="108" t="str">
        <f t="shared" si="2"/>
        <v>-</v>
      </c>
      <c r="G104" s="25"/>
      <c r="H104" s="25"/>
    </row>
    <row r="105" spans="1:8" x14ac:dyDescent="0.2">
      <c r="A105" s="135">
        <v>30105</v>
      </c>
      <c r="B105" s="136" t="s">
        <v>50</v>
      </c>
      <c r="C105" s="218"/>
      <c r="D105" s="90"/>
      <c r="E105" s="91"/>
      <c r="F105" s="108" t="str">
        <f t="shared" si="2"/>
        <v>-</v>
      </c>
      <c r="G105" s="25"/>
      <c r="H105" s="25"/>
    </row>
    <row r="106" spans="1:8" x14ac:dyDescent="0.2">
      <c r="A106" s="135">
        <v>30106</v>
      </c>
      <c r="B106" s="136" t="s">
        <v>51</v>
      </c>
      <c r="C106" s="218"/>
      <c r="D106" s="90"/>
      <c r="E106" s="91"/>
      <c r="F106" s="108" t="str">
        <f t="shared" si="2"/>
        <v>-</v>
      </c>
      <c r="G106" s="25"/>
      <c r="H106" s="25"/>
    </row>
    <row r="107" spans="1:8" x14ac:dyDescent="0.2">
      <c r="A107" s="135">
        <v>30107</v>
      </c>
      <c r="B107" s="136" t="s">
        <v>51</v>
      </c>
      <c r="C107" s="218"/>
      <c r="D107" s="90"/>
      <c r="E107" s="91"/>
      <c r="F107" s="108" t="str">
        <f t="shared" si="2"/>
        <v>-</v>
      </c>
      <c r="G107" s="25"/>
      <c r="H107" s="25"/>
    </row>
    <row r="108" spans="1:8" x14ac:dyDescent="0.2">
      <c r="A108" s="135">
        <v>30110</v>
      </c>
      <c r="B108" s="136" t="s">
        <v>52</v>
      </c>
      <c r="C108" s="218"/>
      <c r="D108" s="90"/>
      <c r="E108" s="91"/>
      <c r="F108" s="108" t="str">
        <f t="shared" si="2"/>
        <v>-</v>
      </c>
      <c r="G108" s="25"/>
      <c r="H108" s="25"/>
    </row>
    <row r="109" spans="1:8" x14ac:dyDescent="0.2">
      <c r="A109" s="135">
        <v>30111</v>
      </c>
      <c r="B109" s="136" t="s">
        <v>53</v>
      </c>
      <c r="C109" s="218"/>
      <c r="D109" s="90"/>
      <c r="E109" s="91"/>
      <c r="F109" s="108" t="str">
        <f t="shared" si="2"/>
        <v>-</v>
      </c>
      <c r="G109" s="25"/>
      <c r="H109" s="25"/>
    </row>
    <row r="110" spans="1:8" x14ac:dyDescent="0.2">
      <c r="A110" s="135">
        <v>30112</v>
      </c>
      <c r="B110" s="136" t="s">
        <v>53</v>
      </c>
      <c r="C110" s="218"/>
      <c r="D110" s="90"/>
      <c r="E110" s="91"/>
      <c r="F110" s="108" t="str">
        <f t="shared" si="2"/>
        <v>-</v>
      </c>
      <c r="G110" s="25"/>
      <c r="H110" s="25"/>
    </row>
    <row r="111" spans="1:8" x14ac:dyDescent="0.2">
      <c r="A111" s="62" t="s">
        <v>54</v>
      </c>
      <c r="B111" s="63"/>
      <c r="C111" s="58" t="s">
        <v>37</v>
      </c>
      <c r="D111" s="59" t="str">
        <f>IF(Units="US CUSTOMARY"," SQYD","m2")</f>
        <v xml:space="preserve"> SQYD</v>
      </c>
      <c r="E111" s="64"/>
      <c r="F111" s="61" t="s">
        <v>38</v>
      </c>
      <c r="G111" s="25"/>
      <c r="H111" s="25"/>
    </row>
    <row r="112" spans="1:8" x14ac:dyDescent="0.2">
      <c r="A112" s="87" t="s">
        <v>55</v>
      </c>
      <c r="B112" s="88" t="s">
        <v>56</v>
      </c>
      <c r="C112" s="218">
        <f>IF(Units="US Customary", 0.3, 0.36)</f>
        <v>0.3</v>
      </c>
      <c r="D112" s="90"/>
      <c r="E112" s="91"/>
      <c r="F112" s="108" t="str">
        <f>IF(ISNUMBER(D112),+C$112*D112, "-")</f>
        <v>-</v>
      </c>
      <c r="G112" s="25"/>
      <c r="H112" s="25"/>
    </row>
    <row r="113" spans="1:8" x14ac:dyDescent="0.2">
      <c r="A113" s="87" t="s">
        <v>57</v>
      </c>
      <c r="B113" s="88" t="s">
        <v>58</v>
      </c>
      <c r="C113" s="218"/>
      <c r="D113" s="90"/>
      <c r="E113" s="91"/>
      <c r="F113" s="108" t="str">
        <f>IF(ISNUMBER(D113),+C$112*D113, "-")</f>
        <v>-</v>
      </c>
      <c r="G113" s="25"/>
      <c r="H113" s="25"/>
    </row>
    <row r="114" spans="1:8" x14ac:dyDescent="0.2">
      <c r="A114" s="62" t="s">
        <v>59</v>
      </c>
      <c r="B114" s="65"/>
      <c r="C114" s="58" t="s">
        <v>37</v>
      </c>
      <c r="D114" s="59" t="str">
        <f>IF(Units="US CUSTOMARY"," SQYD","m2")</f>
        <v xml:space="preserve"> SQYD</v>
      </c>
      <c r="E114" s="64"/>
      <c r="F114" s="61" t="s">
        <v>38</v>
      </c>
      <c r="G114" s="25"/>
      <c r="H114" s="25"/>
    </row>
    <row r="115" spans="1:8" ht="12.75" customHeight="1" x14ac:dyDescent="0.2">
      <c r="A115" s="87" t="s">
        <v>60</v>
      </c>
      <c r="B115" s="92" t="s">
        <v>61</v>
      </c>
      <c r="C115" s="217">
        <f>IF(Units="US Customary", 0.3, 0.36)</f>
        <v>0.3</v>
      </c>
      <c r="D115" s="90"/>
      <c r="E115" s="91"/>
      <c r="F115" s="108" t="str">
        <f>IF(ISNUMBER(D115),+C$115*D115, "-")</f>
        <v>-</v>
      </c>
      <c r="G115" s="73"/>
      <c r="H115" s="25"/>
    </row>
    <row r="116" spans="1:8" ht="12.75" customHeight="1" x14ac:dyDescent="0.2">
      <c r="A116" s="87" t="s">
        <v>62</v>
      </c>
      <c r="B116" s="92" t="s">
        <v>63</v>
      </c>
      <c r="C116" s="218"/>
      <c r="D116" s="90"/>
      <c r="E116" s="91"/>
      <c r="F116" s="108" t="str">
        <f t="shared" ref="F116:F118" si="3">IF(ISNUMBER(D116),+C$115*D116, "-")</f>
        <v>-</v>
      </c>
      <c r="G116" s="73"/>
      <c r="H116" s="25"/>
    </row>
    <row r="117" spans="1:8" ht="12.75" customHeight="1" x14ac:dyDescent="0.2">
      <c r="A117" s="87" t="s">
        <v>64</v>
      </c>
      <c r="B117" s="92" t="s">
        <v>65</v>
      </c>
      <c r="C117" s="218"/>
      <c r="D117" s="90"/>
      <c r="E117" s="91"/>
      <c r="F117" s="108" t="str">
        <f t="shared" si="3"/>
        <v>-</v>
      </c>
      <c r="G117" s="73"/>
      <c r="H117" s="25"/>
    </row>
    <row r="118" spans="1:8" ht="12.75" customHeight="1" x14ac:dyDescent="0.2">
      <c r="A118" s="93" t="s">
        <v>66</v>
      </c>
      <c r="B118" s="94" t="s">
        <v>67</v>
      </c>
      <c r="C118" s="218"/>
      <c r="D118" s="95"/>
      <c r="E118" s="96"/>
      <c r="F118" s="108" t="str">
        <f t="shared" si="3"/>
        <v>-</v>
      </c>
      <c r="G118" s="73"/>
      <c r="H118" s="25"/>
    </row>
    <row r="119" spans="1:8" x14ac:dyDescent="0.2">
      <c r="A119" s="67" t="str">
        <f>IF(FP="FP-24","Section 308 - Emulsified Asphalt-Treated Base Course","Section 309 - Emulsified Asphalt-Treated Base Course")</f>
        <v>Section 308 - Emulsified Asphalt-Treated Base Course</v>
      </c>
      <c r="B119" s="63"/>
      <c r="C119" s="58" t="s">
        <v>37</v>
      </c>
      <c r="D119" s="59" t="str">
        <f>IF(Units="US CUSTOMARY"," Tons"," tonnes")</f>
        <v xml:space="preserve"> Tons</v>
      </c>
      <c r="E119" s="64"/>
      <c r="F119" s="66" t="s">
        <v>38</v>
      </c>
      <c r="G119" s="25"/>
      <c r="H119" s="25"/>
    </row>
    <row r="120" spans="1:8" x14ac:dyDescent="0.2">
      <c r="A120" s="97" t="str">
        <f>IF(FP="FP-24","30801","30901")</f>
        <v>30801</v>
      </c>
      <c r="B120" s="89" t="str">
        <f>IF(FP="FP-24","Emulsified asphalt-treated aggregate base","Emulsified asphalt-treated aggregate base")</f>
        <v>Emulsified asphalt-treated aggregate base</v>
      </c>
      <c r="C120" s="217">
        <f>IF(Units="US Customary", 0.7, 0.77)</f>
        <v>0.7</v>
      </c>
      <c r="D120" s="90"/>
      <c r="E120" s="91"/>
      <c r="F120" s="108" t="str">
        <f>IF(ISNUMBER(D120),+C$120*D120, "-")</f>
        <v>-</v>
      </c>
      <c r="G120" s="25"/>
      <c r="H120" s="25"/>
    </row>
    <row r="121" spans="1:8" ht="12.75" customHeight="1" x14ac:dyDescent="0.2">
      <c r="A121" s="97" t="str">
        <f>IF(FP="FP-24","30802","30902")</f>
        <v>30802</v>
      </c>
      <c r="B121" s="89" t="str">
        <f>IF(FP="FP-24","Emulsified asphalt-treated aggregate base*","Emulsified asphalt-treated aggregate base*")</f>
        <v>Emulsified asphalt-treated aggregate base*</v>
      </c>
      <c r="C121" s="218"/>
      <c r="D121" s="90"/>
      <c r="E121" s="91"/>
      <c r="F121" s="108" t="str">
        <f t="shared" ref="F121:F122" si="4">IF(ISNUMBER(D121),+C$120*D121, "-")</f>
        <v>-</v>
      </c>
      <c r="G121" s="25"/>
      <c r="H121" s="25"/>
    </row>
    <row r="122" spans="1:8" ht="12.75" customHeight="1" x14ac:dyDescent="0.2">
      <c r="A122" s="97" t="str">
        <f>IF(FP="FP-24","30803","30903")</f>
        <v>30803</v>
      </c>
      <c r="B122" s="89" t="str">
        <f>IF(FP="FP-24","Emulsified asphalt-treated aggregate base*","Emulsified asphalt-treated aggregate base*")</f>
        <v>Emulsified asphalt-treated aggregate base*</v>
      </c>
      <c r="C122" s="218"/>
      <c r="D122" s="90"/>
      <c r="E122" s="91"/>
      <c r="F122" s="108" t="str">
        <f t="shared" si="4"/>
        <v>-</v>
      </c>
      <c r="G122" s="25"/>
      <c r="H122" s="25"/>
    </row>
    <row r="123" spans="1:8" x14ac:dyDescent="0.2">
      <c r="A123" s="67" t="s">
        <v>68</v>
      </c>
      <c r="B123" s="68"/>
      <c r="C123" s="58" t="s">
        <v>37</v>
      </c>
      <c r="D123" s="77" t="str">
        <f>IF(Units="US CUSTOMARY"," SQYD","m2")</f>
        <v xml:space="preserve"> SQYD</v>
      </c>
      <c r="E123" s="64"/>
      <c r="F123" s="66" t="s">
        <v>38</v>
      </c>
      <c r="G123" s="78"/>
      <c r="H123" s="25"/>
    </row>
    <row r="124" spans="1:8" ht="12.75" customHeight="1" x14ac:dyDescent="0.2">
      <c r="A124" s="97" t="s">
        <v>69</v>
      </c>
      <c r="B124" s="89" t="s">
        <v>70</v>
      </c>
      <c r="C124" s="218">
        <f>IF(Units="US Customary", 0.15, 0.18)</f>
        <v>0.15</v>
      </c>
      <c r="D124" s="90"/>
      <c r="E124" s="91"/>
      <c r="F124" s="108" t="str">
        <f>IF(ISNUMBER(D124),+C$124*D124, "-")</f>
        <v>-</v>
      </c>
      <c r="G124" s="25"/>
      <c r="H124" s="25"/>
    </row>
    <row r="125" spans="1:8" ht="12.75" customHeight="1" x14ac:dyDescent="0.2">
      <c r="A125" s="100" t="s">
        <v>71</v>
      </c>
      <c r="B125" s="192" t="s">
        <v>72</v>
      </c>
      <c r="C125" s="218"/>
      <c r="D125" s="95"/>
      <c r="E125" s="96"/>
      <c r="F125" s="108" t="str">
        <f>IF(ISNUMBER(D125),+C$124*D125, "-")</f>
        <v>-</v>
      </c>
      <c r="G125" s="25"/>
      <c r="H125" s="25"/>
    </row>
    <row r="126" spans="1:8" x14ac:dyDescent="0.2">
      <c r="A126" s="67" t="s">
        <v>73</v>
      </c>
      <c r="B126" s="68"/>
      <c r="C126" s="58" t="s">
        <v>37</v>
      </c>
      <c r="D126" s="77" t="str">
        <f>IF(Units="US CUSTOMARY"," Tons"," tonnes")</f>
        <v xml:space="preserve"> Tons</v>
      </c>
      <c r="E126" s="64"/>
      <c r="F126" s="66" t="s">
        <v>38</v>
      </c>
      <c r="G126" s="25"/>
      <c r="H126" s="25"/>
    </row>
    <row r="127" spans="1:8" ht="12.75" customHeight="1" x14ac:dyDescent="0.2">
      <c r="A127" s="97" t="s">
        <v>74</v>
      </c>
      <c r="B127" s="89" t="s">
        <v>75</v>
      </c>
      <c r="C127" s="219">
        <f>IF(Units="US Customary", 0.7, 0.77)</f>
        <v>0.7</v>
      </c>
      <c r="D127" s="90"/>
      <c r="E127" s="91"/>
      <c r="F127" s="108" t="str">
        <f>IF(ISNUMBER(D127),+C$127*D127, "-")</f>
        <v>-</v>
      </c>
      <c r="G127" s="78"/>
      <c r="H127" s="25"/>
    </row>
    <row r="128" spans="1:8" ht="12.75" customHeight="1" x14ac:dyDescent="0.2">
      <c r="A128" s="100" t="s">
        <v>76</v>
      </c>
      <c r="B128" s="192" t="s">
        <v>75</v>
      </c>
      <c r="C128" s="219"/>
      <c r="D128" s="95"/>
      <c r="E128" s="96"/>
      <c r="F128" s="108" t="str">
        <f t="shared" ref="F128:F129" si="5">IF(ISNUMBER(D128),+C$127*D128, "-")</f>
        <v>-</v>
      </c>
      <c r="G128" s="25"/>
      <c r="H128" s="25"/>
    </row>
    <row r="129" spans="1:8" ht="12.75" customHeight="1" x14ac:dyDescent="0.2">
      <c r="A129" s="97" t="s">
        <v>77</v>
      </c>
      <c r="B129" s="89" t="s">
        <v>78</v>
      </c>
      <c r="C129" s="220"/>
      <c r="D129" s="90"/>
      <c r="E129" s="91"/>
      <c r="F129" s="108" t="str">
        <f t="shared" si="5"/>
        <v>-</v>
      </c>
      <c r="G129" s="25"/>
      <c r="H129" s="25"/>
    </row>
    <row r="130" spans="1:8" x14ac:dyDescent="0.2">
      <c r="A130" s="67" t="s">
        <v>79</v>
      </c>
      <c r="B130" s="68"/>
      <c r="C130" s="76" t="s">
        <v>37</v>
      </c>
      <c r="D130" s="77" t="str">
        <f>IF(Units="US CUSTOMARY"," Tons"," tonnes")</f>
        <v xml:space="preserve"> Tons</v>
      </c>
      <c r="E130" s="71"/>
      <c r="F130" s="75" t="s">
        <v>38</v>
      </c>
      <c r="G130" s="25"/>
      <c r="H130" s="25"/>
    </row>
    <row r="131" spans="1:8" ht="12.75" customHeight="1" x14ac:dyDescent="0.2">
      <c r="A131" s="97" t="s">
        <v>80</v>
      </c>
      <c r="B131" s="89" t="s">
        <v>81</v>
      </c>
      <c r="C131" s="219">
        <f>IF(Units="US Customary",2.4, 2.65)</f>
        <v>2.4</v>
      </c>
      <c r="D131" s="98"/>
      <c r="E131" s="99"/>
      <c r="F131" s="137" t="str">
        <f>IF(ISNUMBER(D131),+C$131*D131, "-")</f>
        <v>-</v>
      </c>
      <c r="G131" s="78"/>
      <c r="H131" s="25"/>
    </row>
    <row r="132" spans="1:8" ht="22.5" x14ac:dyDescent="0.2">
      <c r="A132" s="100" t="s">
        <v>82</v>
      </c>
      <c r="B132" s="101" t="s">
        <v>83</v>
      </c>
      <c r="C132" s="219"/>
      <c r="D132" s="102"/>
      <c r="E132" s="103"/>
      <c r="F132" s="137" t="str">
        <f>IF(ISNUMBER(D132),+C$131*D132, "-")</f>
        <v>-</v>
      </c>
      <c r="G132" s="25"/>
      <c r="H132" s="25"/>
    </row>
    <row r="133" spans="1:8" ht="28.5" customHeight="1" x14ac:dyDescent="0.25">
      <c r="A133" s="213" t="s">
        <v>84</v>
      </c>
      <c r="B133" s="214"/>
      <c r="C133" s="82" t="s">
        <v>37</v>
      </c>
      <c r="D133" s="83" t="str">
        <f>IF(Units="US CUSTOMARY"," Tons"," tonnes")</f>
        <v xml:space="preserve"> Tons</v>
      </c>
      <c r="E133" s="84"/>
      <c r="F133" s="85" t="s">
        <v>38</v>
      </c>
      <c r="G133" s="25"/>
      <c r="H133" s="25"/>
    </row>
    <row r="134" spans="1:8" ht="12.75" customHeight="1" x14ac:dyDescent="0.2">
      <c r="A134" s="97" t="s">
        <v>85</v>
      </c>
      <c r="B134" s="89" t="s">
        <v>86</v>
      </c>
      <c r="C134" s="219">
        <f>IF(Units="US Customary",2.4, 2.65)</f>
        <v>2.4</v>
      </c>
      <c r="D134" s="98"/>
      <c r="E134" s="99"/>
      <c r="F134" s="137" t="str">
        <f>IF(ISNUMBER(D134),+C$134*D134, "-")</f>
        <v>-</v>
      </c>
      <c r="G134" s="78"/>
      <c r="H134" s="25"/>
    </row>
    <row r="135" spans="1:8" ht="23.25" customHeight="1" x14ac:dyDescent="0.2">
      <c r="A135" s="100" t="s">
        <v>87</v>
      </c>
      <c r="B135" s="101" t="s">
        <v>88</v>
      </c>
      <c r="C135" s="219"/>
      <c r="D135" s="102"/>
      <c r="E135" s="103"/>
      <c r="F135" s="137" t="str">
        <f>IF(ISNUMBER(D135),+C$134*D135, "-")</f>
        <v>-</v>
      </c>
      <c r="G135" s="25"/>
      <c r="H135" s="25"/>
    </row>
    <row r="136" spans="1:8" ht="15" x14ac:dyDescent="0.2">
      <c r="A136" s="221" t="str">
        <f>IF(FP="FP-24","Section 405 - Open-Graded Asphalt Friction","Section 405 - Open-Graded Asphalt Friction")</f>
        <v>Section 405 - Open-Graded Asphalt Friction</v>
      </c>
      <c r="B136" s="222"/>
      <c r="C136" s="76" t="s">
        <v>37</v>
      </c>
      <c r="D136" s="77" t="str">
        <f>IF(Units="US CUSTOMARY"," Tons"," tonnes")</f>
        <v xml:space="preserve"> Tons</v>
      </c>
      <c r="E136" s="71"/>
      <c r="F136" s="75" t="s">
        <v>38</v>
      </c>
      <c r="G136" s="48"/>
      <c r="H136" s="48"/>
    </row>
    <row r="137" spans="1:8" ht="15" x14ac:dyDescent="0.2">
      <c r="A137" s="97" t="str">
        <f>IF(FP="FP-03","40501","40501")</f>
        <v>40501</v>
      </c>
      <c r="B137" s="70" t="str">
        <f>IF(FP="FP-03","Continuous cold recylced aphalt base","Open-graded asphalt friction course")</f>
        <v>Open-graded asphalt friction course</v>
      </c>
      <c r="C137" s="142">
        <f>IF(Units="US Customary",2.4, 2.65)</f>
        <v>2.4</v>
      </c>
      <c r="D137" s="98"/>
      <c r="E137" s="99"/>
      <c r="F137" s="137" t="str">
        <f>IF(ISNUMBER(D137),+C$137*D137, "-")</f>
        <v>-</v>
      </c>
      <c r="G137" s="80"/>
      <c r="H137" s="17"/>
    </row>
    <row r="138" spans="1:8" ht="15" x14ac:dyDescent="0.25">
      <c r="A138" s="189" t="s">
        <v>104</v>
      </c>
      <c r="B138" s="104"/>
      <c r="C138" s="138"/>
      <c r="D138" s="147"/>
      <c r="E138" s="105"/>
      <c r="F138" s="139"/>
      <c r="G138" s="44"/>
      <c r="H138" s="44"/>
    </row>
    <row r="139" spans="1:8" ht="15" x14ac:dyDescent="0.25">
      <c r="A139" s="189"/>
      <c r="B139" s="81"/>
      <c r="C139" s="140"/>
      <c r="D139" s="148"/>
      <c r="E139" s="106"/>
      <c r="F139" s="141"/>
      <c r="G139" s="44"/>
      <c r="H139" s="44"/>
    </row>
    <row r="140" spans="1:8" ht="15" x14ac:dyDescent="0.25">
      <c r="A140" s="189"/>
      <c r="B140" s="81"/>
      <c r="C140" s="140"/>
      <c r="D140" s="148"/>
      <c r="E140" s="106"/>
      <c r="F140" s="141"/>
      <c r="G140" s="44"/>
      <c r="H140" s="44"/>
    </row>
    <row r="141" spans="1:8" ht="15" x14ac:dyDescent="0.25">
      <c r="A141" s="189"/>
      <c r="B141" s="81"/>
      <c r="C141" s="140"/>
      <c r="D141" s="148"/>
      <c r="E141" s="106"/>
      <c r="F141" s="141"/>
      <c r="G141" s="44"/>
      <c r="H141" s="44"/>
    </row>
    <row r="142" spans="1:8" ht="15" x14ac:dyDescent="0.25">
      <c r="A142" s="189"/>
      <c r="B142" s="81"/>
      <c r="C142" s="140"/>
      <c r="D142" s="148"/>
      <c r="E142" s="106"/>
      <c r="F142" s="141"/>
      <c r="G142" s="44"/>
      <c r="H142" s="44"/>
    </row>
    <row r="143" spans="1:8" ht="15" x14ac:dyDescent="0.25">
      <c r="A143" s="189"/>
      <c r="B143" s="81"/>
      <c r="C143" s="140"/>
      <c r="D143" s="148"/>
      <c r="E143" s="106"/>
      <c r="F143" s="141"/>
      <c r="G143" s="44"/>
      <c r="H143" s="44"/>
    </row>
    <row r="144" spans="1:8" ht="15" x14ac:dyDescent="0.25">
      <c r="A144" s="189"/>
      <c r="B144" s="81"/>
      <c r="C144" s="140"/>
      <c r="D144" s="148"/>
      <c r="E144" s="106"/>
      <c r="F144" s="141"/>
      <c r="G144" s="44"/>
      <c r="H144" s="44"/>
    </row>
    <row r="145" spans="1:8" ht="15" x14ac:dyDescent="0.25">
      <c r="A145" s="189"/>
      <c r="B145" s="81"/>
      <c r="C145" s="140"/>
      <c r="D145" s="148"/>
      <c r="E145" s="106"/>
      <c r="F145" s="141"/>
      <c r="G145" s="44"/>
      <c r="H145" s="44"/>
    </row>
    <row r="146" spans="1:8" ht="15" x14ac:dyDescent="0.25">
      <c r="A146" s="189"/>
      <c r="B146" s="81"/>
      <c r="C146" s="140"/>
      <c r="D146" s="148"/>
      <c r="E146" s="106"/>
      <c r="F146" s="141"/>
      <c r="G146" s="44"/>
      <c r="H146" s="44"/>
    </row>
    <row r="147" spans="1:8" ht="15" x14ac:dyDescent="0.25">
      <c r="A147" s="189"/>
      <c r="B147" s="81"/>
      <c r="C147" s="140"/>
      <c r="D147" s="148"/>
      <c r="E147" s="106"/>
      <c r="F147" s="141"/>
      <c r="G147" s="44"/>
      <c r="H147" s="44"/>
    </row>
    <row r="148" spans="1:8" ht="15" x14ac:dyDescent="0.25">
      <c r="A148" s="189"/>
      <c r="B148" s="81"/>
      <c r="C148" s="140"/>
      <c r="D148" s="148"/>
      <c r="E148" s="106"/>
      <c r="F148" s="141"/>
      <c r="G148" s="44"/>
      <c r="H148" s="44"/>
    </row>
    <row r="149" spans="1:8" ht="15" x14ac:dyDescent="0.25">
      <c r="A149" s="189"/>
      <c r="B149" s="81"/>
      <c r="C149" s="140"/>
      <c r="D149" s="148"/>
      <c r="E149" s="106"/>
      <c r="F149" s="141"/>
      <c r="G149" s="44"/>
      <c r="H149" s="44"/>
    </row>
    <row r="150" spans="1:8" ht="2.1" customHeight="1" x14ac:dyDescent="0.25">
      <c r="A150" s="189"/>
      <c r="B150" s="81"/>
      <c r="C150" s="140"/>
      <c r="D150" s="148"/>
      <c r="E150" s="106"/>
      <c r="F150" s="141"/>
      <c r="G150" s="44"/>
      <c r="H150" s="44"/>
    </row>
    <row r="151" spans="1:8" ht="2.1" customHeight="1" x14ac:dyDescent="0.25">
      <c r="A151" s="189"/>
      <c r="B151" s="81"/>
      <c r="C151" s="140"/>
      <c r="D151" s="148"/>
      <c r="E151" s="106"/>
      <c r="F151" s="141"/>
      <c r="G151" s="44"/>
      <c r="H151" s="44"/>
    </row>
    <row r="152" spans="1:8" ht="18" x14ac:dyDescent="0.25">
      <c r="A152" s="208" t="s">
        <v>34</v>
      </c>
      <c r="B152" s="208"/>
      <c r="C152" s="208"/>
      <c r="D152" s="208"/>
      <c r="E152" s="208"/>
      <c r="F152" s="208"/>
      <c r="G152" s="208"/>
      <c r="H152" s="208"/>
    </row>
    <row r="153" spans="1:8" x14ac:dyDescent="0.2">
      <c r="A153" s="7"/>
      <c r="B153" s="7"/>
      <c r="C153" s="11" t="s">
        <v>1</v>
      </c>
      <c r="D153" s="12" t="str">
        <f>+Sheet1!D2</f>
        <v>FP-24</v>
      </c>
      <c r="E153" s="8"/>
      <c r="F153" s="9"/>
      <c r="G153" s="9"/>
      <c r="H153" s="9"/>
    </row>
    <row r="154" spans="1:8" x14ac:dyDescent="0.2">
      <c r="A154" s="7"/>
      <c r="B154" s="7"/>
      <c r="C154" s="7"/>
      <c r="D154" s="10"/>
      <c r="E154" s="8"/>
      <c r="F154" s="9"/>
      <c r="G154" s="9"/>
      <c r="H154" s="9"/>
    </row>
    <row r="155" spans="1:8" x14ac:dyDescent="0.2">
      <c r="A155" s="11" t="s">
        <v>3</v>
      </c>
      <c r="B155" s="206" t="str">
        <f>+B4</f>
        <v>AZ Heidi Test(1)</v>
      </c>
      <c r="C155" s="206"/>
      <c r="D155" s="12"/>
      <c r="E155" s="12"/>
      <c r="F155" s="13"/>
      <c r="G155" s="14" t="s">
        <v>5</v>
      </c>
      <c r="H155" s="15">
        <f ca="1" xml:space="preserve"> TODAY()</f>
        <v>45532</v>
      </c>
    </row>
    <row r="156" spans="1:8" ht="5.25" customHeight="1" x14ac:dyDescent="0.2">
      <c r="A156" s="11"/>
      <c r="B156" s="206"/>
      <c r="C156" s="206"/>
      <c r="D156" s="12"/>
      <c r="E156" s="12"/>
      <c r="F156" s="13"/>
      <c r="G156" s="14"/>
      <c r="H156" s="15"/>
    </row>
    <row r="157" spans="1:8" x14ac:dyDescent="0.2">
      <c r="A157" s="11" t="s">
        <v>6</v>
      </c>
      <c r="B157" s="212" t="str">
        <f>+B6</f>
        <v>Heidi National Park</v>
      </c>
      <c r="C157" s="212"/>
      <c r="D157" s="212"/>
      <c r="E157" s="212"/>
      <c r="F157" s="212"/>
      <c r="G157" s="14" t="str">
        <f>+G6</f>
        <v xml:space="preserve">Schedule Type: </v>
      </c>
      <c r="H157" s="16" t="str">
        <f>+H6</f>
        <v>Base</v>
      </c>
    </row>
    <row r="158" spans="1:8" x14ac:dyDescent="0.2">
      <c r="A158" s="11"/>
      <c r="B158" s="206"/>
      <c r="C158" s="206"/>
      <c r="D158" s="206"/>
      <c r="E158" s="206"/>
      <c r="F158" s="206"/>
      <c r="G158" s="14" t="str">
        <f>+G8</f>
        <v>Schedule Letter:</v>
      </c>
      <c r="H158" s="16" t="str">
        <f>+H8</f>
        <v>C</v>
      </c>
    </row>
    <row r="159" spans="1:8" x14ac:dyDescent="0.2">
      <c r="A159" s="7"/>
      <c r="B159" s="7"/>
      <c r="C159" s="7"/>
      <c r="D159" s="8"/>
      <c r="E159" s="8"/>
      <c r="F159" s="9"/>
      <c r="G159" s="14" t="s">
        <v>12</v>
      </c>
      <c r="H159" s="13" t="str">
        <f>+Units</f>
        <v>US CUSTOMARY</v>
      </c>
    </row>
    <row r="160" spans="1:8" ht="6.75" customHeight="1" thickBot="1" x14ac:dyDescent="0.25">
      <c r="A160" s="7"/>
      <c r="B160" s="7"/>
      <c r="C160" s="7"/>
      <c r="D160" s="8"/>
      <c r="E160" s="8"/>
      <c r="F160" s="9"/>
      <c r="G160" s="14"/>
      <c r="H160" s="13"/>
    </row>
    <row r="161" spans="1:8" ht="19.5" customHeight="1" thickBot="1" x14ac:dyDescent="0.25">
      <c r="A161" s="129" t="s">
        <v>90</v>
      </c>
      <c r="B161" s="130"/>
      <c r="C161" s="130"/>
      <c r="D161" s="130"/>
      <c r="E161" s="130"/>
      <c r="F161" s="130"/>
      <c r="G161" s="130"/>
      <c r="H161" s="131"/>
    </row>
    <row r="162" spans="1:8" ht="5.25" customHeight="1" x14ac:dyDescent="0.2">
      <c r="A162" s="17"/>
      <c r="B162" s="43"/>
      <c r="C162" s="43"/>
      <c r="D162" s="44"/>
      <c r="E162" s="45"/>
      <c r="F162" s="44"/>
      <c r="G162" s="44"/>
      <c r="H162" s="44"/>
    </row>
    <row r="163" spans="1:8" ht="12.75" customHeight="1" x14ac:dyDescent="0.2">
      <c r="A163" s="221" t="str">
        <f>IF(FP="FP-24","Not applicable","Not applicable")</f>
        <v>Not applicable</v>
      </c>
      <c r="B163" s="225"/>
      <c r="C163" s="76" t="s">
        <v>37</v>
      </c>
      <c r="D163" s="77"/>
      <c r="E163" s="71"/>
      <c r="F163" s="75" t="s">
        <v>38</v>
      </c>
      <c r="G163" s="44"/>
      <c r="H163" s="44"/>
    </row>
    <row r="164" spans="1:8" ht="12.75" customHeight="1" x14ac:dyDescent="0.2">
      <c r="A164" s="69"/>
      <c r="B164" s="70"/>
      <c r="C164" s="142"/>
      <c r="D164" s="74"/>
      <c r="E164" s="72"/>
      <c r="F164" s="143" t="str">
        <f>IF(ISNUMBER(D164),+C$164*D164, "-")</f>
        <v>-</v>
      </c>
      <c r="G164" s="79"/>
      <c r="H164" s="44"/>
    </row>
    <row r="165" spans="1:8" ht="12.75" customHeight="1" x14ac:dyDescent="0.2">
      <c r="A165" s="221" t="str">
        <f>IF(FP="FP-24","Not applicable","Not applicable")</f>
        <v>Not applicable</v>
      </c>
      <c r="B165" s="226"/>
      <c r="C165" s="82" t="s">
        <v>37</v>
      </c>
      <c r="D165" s="83"/>
      <c r="E165" s="84"/>
      <c r="F165" s="85" t="s">
        <v>38</v>
      </c>
      <c r="G165" s="79"/>
      <c r="H165" s="44"/>
    </row>
    <row r="166" spans="1:8" ht="12.75" customHeight="1" x14ac:dyDescent="0.2">
      <c r="A166" s="69"/>
      <c r="B166" s="70"/>
      <c r="C166" s="142"/>
      <c r="D166" s="74"/>
      <c r="E166" s="72"/>
      <c r="F166" s="143" t="str">
        <f>IF(ISNUMBER(D166),+C$166*D166, "-")</f>
        <v>-</v>
      </c>
      <c r="G166" s="79"/>
      <c r="H166" s="48"/>
    </row>
    <row r="167" spans="1:8" ht="12.75" customHeight="1" x14ac:dyDescent="0.2">
      <c r="A167" s="67" t="str">
        <f>IF(FP="FP-24","Not applicable","Not applicable")</f>
        <v>Not applicable</v>
      </c>
      <c r="B167" s="68"/>
      <c r="C167" s="76" t="s">
        <v>37</v>
      </c>
      <c r="D167" s="77"/>
      <c r="E167" s="71"/>
      <c r="F167" s="75" t="s">
        <v>38</v>
      </c>
      <c r="G167" s="49"/>
      <c r="H167" s="50"/>
    </row>
    <row r="168" spans="1:8" x14ac:dyDescent="0.2">
      <c r="A168" s="97"/>
      <c r="B168" s="89"/>
      <c r="C168" s="219"/>
      <c r="D168" s="98"/>
      <c r="E168" s="99"/>
      <c r="F168" s="137" t="str">
        <f>IF(ISNUMBER(D168),+C$168*D168, "-")</f>
        <v>-</v>
      </c>
      <c r="G168" s="49"/>
      <c r="H168" s="50"/>
    </row>
    <row r="169" spans="1:8" x14ac:dyDescent="0.2">
      <c r="A169" s="97"/>
      <c r="B169" s="89"/>
      <c r="C169" s="220"/>
      <c r="D169" s="98"/>
      <c r="E169" s="99"/>
      <c r="F169" s="137" t="str">
        <f>IF(ISNUMBER(D169),+C$168*D169, "-")</f>
        <v>-</v>
      </c>
      <c r="G169" s="49"/>
      <c r="H169" s="50"/>
    </row>
    <row r="170" spans="1:8" ht="15" x14ac:dyDescent="0.25">
      <c r="A170" s="69"/>
      <c r="B170" s="70"/>
      <c r="C170" s="140"/>
      <c r="D170" s="195"/>
      <c r="E170" s="193"/>
      <c r="F170" s="194"/>
      <c r="G170" s="49"/>
      <c r="H170" s="50"/>
    </row>
    <row r="171" spans="1:8" ht="15" x14ac:dyDescent="0.25">
      <c r="A171" s="69"/>
      <c r="B171" s="70"/>
      <c r="C171" s="140"/>
      <c r="D171" s="195"/>
      <c r="E171" s="193"/>
      <c r="F171" s="194"/>
      <c r="G171" s="49"/>
      <c r="H171" s="50"/>
    </row>
    <row r="172" spans="1:8" x14ac:dyDescent="0.2">
      <c r="A172" s="46"/>
      <c r="B172" s="46"/>
      <c r="C172" s="46"/>
      <c r="D172" s="47"/>
      <c r="E172" s="47"/>
      <c r="F172" s="48"/>
      <c r="G172" s="48"/>
      <c r="H172" s="48"/>
    </row>
    <row r="173" spans="1:8" x14ac:dyDescent="0.2">
      <c r="A173" s="46"/>
      <c r="B173" s="46"/>
      <c r="C173" s="46"/>
      <c r="D173" s="47"/>
      <c r="E173" s="47"/>
      <c r="F173" s="48"/>
      <c r="G173" s="48"/>
      <c r="H173" s="48"/>
    </row>
    <row r="174" spans="1:8" x14ac:dyDescent="0.2">
      <c r="A174" s="107"/>
      <c r="B174" s="114"/>
      <c r="C174" s="115"/>
      <c r="D174" s="116" t="s">
        <v>91</v>
      </c>
      <c r="E174" s="115"/>
      <c r="F174" s="117">
        <f>SUM(F90:F137)+SUM(F163:F169)</f>
        <v>0</v>
      </c>
      <c r="G174" s="17"/>
      <c r="H174" s="17"/>
    </row>
    <row r="175" spans="1:8" ht="4.5" customHeight="1" x14ac:dyDescent="0.2">
      <c r="A175" s="17"/>
      <c r="B175" s="118"/>
      <c r="C175" s="43"/>
      <c r="D175" s="45"/>
      <c r="E175" s="45"/>
      <c r="F175" s="119"/>
      <c r="G175" s="44"/>
      <c r="H175" s="44"/>
    </row>
    <row r="176" spans="1:8" x14ac:dyDescent="0.2">
      <c r="A176" s="17"/>
      <c r="B176" s="120"/>
      <c r="C176" s="46"/>
      <c r="D176" s="109" t="s">
        <v>92</v>
      </c>
      <c r="E176" s="51"/>
      <c r="F176" s="149"/>
      <c r="G176" s="44"/>
      <c r="H176" s="44"/>
    </row>
    <row r="177" spans="1:8" ht="7.5" customHeight="1" x14ac:dyDescent="0.2">
      <c r="A177" s="17"/>
      <c r="B177" s="121"/>
      <c r="C177" s="46"/>
      <c r="D177" s="113"/>
      <c r="E177" s="51"/>
      <c r="F177" s="119"/>
      <c r="G177" s="44"/>
      <c r="H177" s="44"/>
    </row>
    <row r="178" spans="1:8" x14ac:dyDescent="0.2">
      <c r="A178" s="17"/>
      <c r="B178" s="121"/>
      <c r="C178" s="46"/>
      <c r="D178" s="109" t="s">
        <v>93</v>
      </c>
      <c r="E178" s="51"/>
      <c r="F178" s="122" t="str">
        <f>IF(F176&lt;&gt;"",F176*1.6,"-")</f>
        <v>-</v>
      </c>
      <c r="G178" s="44"/>
      <c r="H178" s="44"/>
    </row>
    <row r="179" spans="1:8" ht="5.25" customHeight="1" x14ac:dyDescent="0.2">
      <c r="A179" s="17"/>
      <c r="B179" s="121"/>
      <c r="C179" s="46"/>
      <c r="D179" s="113"/>
      <c r="E179" s="51"/>
      <c r="F179" s="119"/>
      <c r="G179" s="44"/>
      <c r="H179" s="44"/>
    </row>
    <row r="180" spans="1:8" x14ac:dyDescent="0.2">
      <c r="A180" s="46"/>
      <c r="B180" s="121"/>
      <c r="C180" s="46"/>
      <c r="D180" s="110" t="s">
        <v>94</v>
      </c>
      <c r="E180" s="47"/>
      <c r="F180" s="123" t="str">
        <f>IF(F174&lt;&gt;0,(1.6-1.1)*(F174*F176),"-")</f>
        <v>-</v>
      </c>
      <c r="G180" s="48"/>
      <c r="H180" s="48"/>
    </row>
    <row r="181" spans="1:8" ht="7.5" customHeight="1" x14ac:dyDescent="0.2">
      <c r="A181" s="46"/>
      <c r="B181" s="121"/>
      <c r="C181" s="46"/>
      <c r="D181" s="47"/>
      <c r="E181" s="47"/>
      <c r="F181" s="119"/>
      <c r="G181" s="52"/>
      <c r="H181" s="53"/>
    </row>
    <row r="182" spans="1:8" x14ac:dyDescent="0.2">
      <c r="A182" s="46"/>
      <c r="B182" s="121"/>
      <c r="C182" s="46"/>
      <c r="D182" s="110" t="s">
        <v>95</v>
      </c>
      <c r="E182" s="47"/>
      <c r="F182" s="150"/>
      <c r="G182" s="52"/>
      <c r="H182" s="53"/>
    </row>
    <row r="183" spans="1:8" ht="6.75" customHeight="1" x14ac:dyDescent="0.2">
      <c r="A183" s="46"/>
      <c r="B183" s="121"/>
      <c r="C183" s="46"/>
      <c r="D183" s="47"/>
      <c r="E183" s="47"/>
      <c r="F183" s="119"/>
      <c r="G183" s="52"/>
      <c r="H183" s="53"/>
    </row>
    <row r="184" spans="1:8" ht="18.75" customHeight="1" x14ac:dyDescent="0.2">
      <c r="A184" s="46"/>
      <c r="B184" s="124"/>
      <c r="C184" s="125"/>
      <c r="D184" s="126" t="s">
        <v>96</v>
      </c>
      <c r="E184" s="127"/>
      <c r="F184" s="128" t="str">
        <f>IF(F182&lt;&gt;"",(F180*F182)/100,"$0.00")</f>
        <v>$0.00</v>
      </c>
      <c r="G184" s="52"/>
      <c r="H184" s="53"/>
    </row>
    <row r="185" spans="1:8" ht="18.75" customHeight="1" x14ac:dyDescent="0.2">
      <c r="A185" s="46"/>
      <c r="B185" s="46"/>
      <c r="C185" s="46"/>
      <c r="D185" s="111"/>
      <c r="E185" s="47"/>
      <c r="F185" s="112"/>
      <c r="G185" s="52"/>
      <c r="H185" s="53"/>
    </row>
    <row r="186" spans="1:8" ht="18.75" customHeight="1" x14ac:dyDescent="0.2">
      <c r="A186" s="46"/>
      <c r="B186" s="46"/>
      <c r="C186" s="46"/>
      <c r="D186" s="111"/>
      <c r="E186" s="47"/>
      <c r="F186" s="112"/>
      <c r="G186" s="52"/>
      <c r="H186" s="53"/>
    </row>
    <row r="187" spans="1:8" x14ac:dyDescent="0.2">
      <c r="A187" s="46"/>
      <c r="B187" s="46"/>
      <c r="C187" s="46"/>
      <c r="D187" s="47"/>
      <c r="E187" s="47"/>
      <c r="F187" s="48"/>
      <c r="G187" s="52"/>
      <c r="H187" s="53"/>
    </row>
    <row r="188" spans="1:8" ht="6.75" customHeight="1" thickBot="1" x14ac:dyDescent="0.25">
      <c r="A188" s="7"/>
      <c r="B188" s="7"/>
      <c r="C188" s="7"/>
      <c r="D188" s="8"/>
      <c r="E188" s="8"/>
      <c r="F188" s="9"/>
      <c r="G188" s="14"/>
      <c r="H188" s="13"/>
    </row>
    <row r="189" spans="1:8" ht="19.5" customHeight="1" thickBot="1" x14ac:dyDescent="0.25">
      <c r="A189" s="132" t="s">
        <v>97</v>
      </c>
      <c r="B189" s="133"/>
      <c r="C189" s="133"/>
      <c r="D189" s="133"/>
      <c r="E189" s="133"/>
      <c r="F189" s="133"/>
      <c r="G189" s="133"/>
      <c r="H189" s="134"/>
    </row>
    <row r="190" spans="1:8" ht="5.25" customHeight="1" x14ac:dyDescent="0.2">
      <c r="A190" s="17"/>
      <c r="B190" s="43"/>
      <c r="C190" s="43"/>
      <c r="D190" s="44"/>
      <c r="E190" s="45"/>
      <c r="F190" s="44"/>
      <c r="G190" s="44"/>
      <c r="H190" s="44"/>
    </row>
    <row r="191" spans="1:8" x14ac:dyDescent="0.2">
      <c r="A191" s="46"/>
      <c r="B191" s="114"/>
      <c r="C191" s="115"/>
      <c r="D191" s="116" t="s">
        <v>98</v>
      </c>
      <c r="E191" s="115"/>
      <c r="F191" s="151"/>
      <c r="G191" s="52"/>
      <c r="H191" s="53"/>
    </row>
    <row r="192" spans="1:8" x14ac:dyDescent="0.2">
      <c r="A192" s="46"/>
      <c r="B192" s="118"/>
      <c r="C192" s="43"/>
      <c r="D192" s="45"/>
      <c r="E192" s="45"/>
      <c r="F192" s="119"/>
      <c r="G192" s="52"/>
      <c r="H192" s="53"/>
    </row>
    <row r="193" spans="1:8" x14ac:dyDescent="0.2">
      <c r="A193" s="46"/>
      <c r="B193" s="120"/>
      <c r="C193" s="46"/>
      <c r="D193" s="109" t="s">
        <v>99</v>
      </c>
      <c r="E193" s="51"/>
      <c r="F193" s="149"/>
      <c r="G193" s="52"/>
      <c r="H193" s="53"/>
    </row>
    <row r="194" spans="1:8" x14ac:dyDescent="0.2">
      <c r="A194" s="46"/>
      <c r="B194" s="121"/>
      <c r="C194" s="46"/>
      <c r="D194" s="113"/>
      <c r="E194" s="51"/>
      <c r="F194" s="119"/>
      <c r="G194" s="52"/>
      <c r="H194" s="53"/>
    </row>
    <row r="195" spans="1:8" x14ac:dyDescent="0.2">
      <c r="A195" s="46"/>
      <c r="B195" s="121"/>
      <c r="C195" s="46"/>
      <c r="D195" s="109" t="s">
        <v>93</v>
      </c>
      <c r="E195" s="51"/>
      <c r="F195" s="122" t="str">
        <f>IF(F193&lt;&gt;"",F193*1.6,"-")</f>
        <v>-</v>
      </c>
      <c r="G195" s="52"/>
      <c r="H195" s="53"/>
    </row>
    <row r="196" spans="1:8" x14ac:dyDescent="0.2">
      <c r="A196" s="46"/>
      <c r="B196" s="121"/>
      <c r="C196" s="46"/>
      <c r="D196" s="113"/>
      <c r="E196" s="51"/>
      <c r="F196" s="119"/>
      <c r="G196" s="52"/>
      <c r="H196" s="53"/>
    </row>
    <row r="197" spans="1:8" x14ac:dyDescent="0.2">
      <c r="A197" s="46"/>
      <c r="B197" s="121"/>
      <c r="C197" s="46"/>
      <c r="D197" s="110" t="s">
        <v>100</v>
      </c>
      <c r="E197" s="47"/>
      <c r="F197" s="123" t="str">
        <f>IF(F191&lt;&gt;0,(1.6-1.1)*(F193)*(F191*0.06),"-")</f>
        <v>-</v>
      </c>
      <c r="G197" s="52"/>
      <c r="H197" s="53"/>
    </row>
    <row r="198" spans="1:8" x14ac:dyDescent="0.2">
      <c r="A198" s="46"/>
      <c r="B198" s="121"/>
      <c r="C198" s="46"/>
      <c r="D198" s="47"/>
      <c r="E198" s="47"/>
      <c r="F198" s="119"/>
      <c r="G198" s="52"/>
      <c r="H198" s="53"/>
    </row>
    <row r="199" spans="1:8" x14ac:dyDescent="0.2">
      <c r="A199" s="46"/>
      <c r="B199" s="121"/>
      <c r="C199" s="46"/>
      <c r="D199" s="110" t="s">
        <v>95</v>
      </c>
      <c r="E199" s="47"/>
      <c r="F199" s="150"/>
      <c r="G199" s="52"/>
      <c r="H199" s="53"/>
    </row>
    <row r="200" spans="1:8" x14ac:dyDescent="0.2">
      <c r="A200" s="46"/>
      <c r="B200" s="121"/>
      <c r="C200" s="46"/>
      <c r="D200" s="47"/>
      <c r="E200" s="47"/>
      <c r="F200" s="119"/>
      <c r="G200" s="52"/>
      <c r="H200" s="53"/>
    </row>
    <row r="201" spans="1:8" x14ac:dyDescent="0.2">
      <c r="A201" s="46"/>
      <c r="B201" s="124"/>
      <c r="C201" s="125"/>
      <c r="D201" s="126" t="s">
        <v>101</v>
      </c>
      <c r="E201" s="127"/>
      <c r="F201" s="128" t="str">
        <f>IF(F199&lt;&gt;"",(F197*F199)/100,"$0.00")</f>
        <v>$0.00</v>
      </c>
      <c r="G201" s="48"/>
      <c r="H201" s="48"/>
    </row>
    <row r="202" spans="1:8" x14ac:dyDescent="0.2">
      <c r="A202" s="46"/>
      <c r="B202" s="46"/>
      <c r="C202" s="46"/>
      <c r="D202" s="47"/>
      <c r="E202" s="47"/>
      <c r="F202" s="48"/>
      <c r="G202" s="48"/>
      <c r="H202" s="48"/>
    </row>
    <row r="203" spans="1:8" x14ac:dyDescent="0.2">
      <c r="A203" s="54"/>
      <c r="B203" s="55"/>
      <c r="C203" s="55"/>
      <c r="D203" s="47"/>
      <c r="E203" s="47"/>
      <c r="F203" s="48"/>
      <c r="G203" s="48"/>
      <c r="H203" s="48"/>
    </row>
    <row r="204" spans="1:8" x14ac:dyDescent="0.2">
      <c r="A204" s="55"/>
      <c r="B204" s="55"/>
      <c r="C204" s="55"/>
      <c r="D204" s="47"/>
      <c r="E204" s="47"/>
      <c r="F204" s="48"/>
      <c r="G204" s="48"/>
      <c r="H204" s="48"/>
    </row>
    <row r="205" spans="1:8" x14ac:dyDescent="0.2">
      <c r="A205" s="55"/>
      <c r="B205" s="55"/>
      <c r="C205" s="55"/>
      <c r="D205" s="47"/>
      <c r="E205" s="47"/>
      <c r="F205" s="48"/>
      <c r="G205" s="48"/>
      <c r="H205" s="48"/>
    </row>
    <row r="206" spans="1:8" x14ac:dyDescent="0.2">
      <c r="A206" s="54"/>
      <c r="B206" s="55"/>
      <c r="C206" s="55"/>
      <c r="D206" s="47"/>
      <c r="E206" s="47"/>
      <c r="F206" s="48"/>
      <c r="G206" s="48"/>
      <c r="H206" s="48"/>
    </row>
    <row r="207" spans="1:8" x14ac:dyDescent="0.2">
      <c r="A207" s="55"/>
      <c r="B207" s="55"/>
      <c r="C207" s="55"/>
      <c r="D207" s="47"/>
      <c r="E207" s="47"/>
      <c r="F207" s="48"/>
      <c r="G207" s="48"/>
      <c r="H207" s="48"/>
    </row>
    <row r="208" spans="1:8" x14ac:dyDescent="0.2">
      <c r="A208" s="55"/>
      <c r="B208" s="55"/>
      <c r="C208" s="55"/>
      <c r="D208" s="47"/>
      <c r="E208" s="47"/>
      <c r="F208" s="48"/>
      <c r="G208" s="48"/>
      <c r="H208" s="48"/>
    </row>
    <row r="209" spans="1:8" ht="22.5" customHeight="1" x14ac:dyDescent="0.2">
      <c r="A209" s="54"/>
      <c r="B209" s="55"/>
      <c r="C209" s="55"/>
      <c r="D209" s="47"/>
      <c r="E209" s="47"/>
      <c r="F209" s="48"/>
      <c r="G209" s="48"/>
      <c r="H209" s="48"/>
    </row>
  </sheetData>
  <sheetProtection sheet="1" objects="1" scenarios="1"/>
  <dataConsolidate/>
  <mergeCells count="26">
    <mergeCell ref="A165:B165"/>
    <mergeCell ref="C168:C169"/>
    <mergeCell ref="A133:B133"/>
    <mergeCell ref="C134:C135"/>
    <mergeCell ref="A136:B136"/>
    <mergeCell ref="A152:H152"/>
    <mergeCell ref="B157:F157"/>
    <mergeCell ref="A163:B163"/>
    <mergeCell ref="C131:C132"/>
    <mergeCell ref="A57:H57"/>
    <mergeCell ref="A65:G65"/>
    <mergeCell ref="A79:H79"/>
    <mergeCell ref="B84:F84"/>
    <mergeCell ref="C91:C100"/>
    <mergeCell ref="C102:C110"/>
    <mergeCell ref="C112:C113"/>
    <mergeCell ref="C115:C118"/>
    <mergeCell ref="C120:C122"/>
    <mergeCell ref="C124:C125"/>
    <mergeCell ref="C127:C129"/>
    <mergeCell ref="A52:G52"/>
    <mergeCell ref="A1:H1"/>
    <mergeCell ref="B6:F6"/>
    <mergeCell ref="A12:H12"/>
    <mergeCell ref="A30:H30"/>
    <mergeCell ref="A42:H42"/>
  </mergeCells>
  <dataValidations count="12">
    <dataValidation type="list" allowBlank="1" showInputMessage="1" showErrorMessage="1" promptTitle="Choose Letter" prompt="If you need more than six schedules, then copy additional sheet tabs and calculate incentives separately for each schedule._x000a__x000a_Sheet tabs can be copied by left clicking the active tab, choosing 'Move or Copy', then clicking the &quot;Create Copy' checkbox." sqref="H8" xr:uid="{C697848B-DA26-48F5-8BD8-CFED20A492A0}">
      <formula1>", A, B, C, D, E, F, G, W, X, Y, Z"</formula1>
    </dataValidation>
    <dataValidation type="list" showInputMessage="1" showErrorMessage="1" error="Please use drop-down menu to select a schedule" promptTitle="Select Schedule Type" prompt="Select Base, Option, or Alternate" sqref="H6" xr:uid="{4E96E6B9-6126-47C7-9AA2-C04F3D87E885}">
      <formula1>"  , Base, Option, Alternate"</formula1>
    </dataValidation>
    <dataValidation type="whole" operator="greaterThanOrEqual" allowBlank="1" showInputMessage="1" showErrorMessage="1" error="Bid decimals set to zero._x000a__x000a_Contact Steve Chapman (X7801)_x000a_                   or_x000a_    Greg Kwock (X7987)_x000a__x000a_to modify Incentive Spreadsheet." sqref="D51 D138:D151" xr:uid="{39AED666-73B0-4084-94C6-515C78B42EB1}">
      <formula1>0</formula1>
    </dataValidation>
    <dataValidation allowBlank="1" showInputMessage="1" showErrorMessage="1" promptTitle="Enter project number" prompt="Example:  CA FTNP JOTR 11(5)" sqref="B4:C4" xr:uid="{92E8E5A4-5C2E-4371-83F4-B877C7CF3D7A}"/>
    <dataValidation allowBlank="1" showInputMessage="1" showErrorMessage="1" promptTitle="Enter project name" prompt="Example:  Pinto Basin Road" sqref="B6:F6" xr:uid="{8EFDB9B6-D986-467A-A886-D69419D19A54}"/>
    <dataValidation allowBlank="1" sqref="B82:C82 B155:C155" xr:uid="{585959F8-20E1-4039-BD54-7B885FB544CE}"/>
    <dataValidation allowBlank="1" showErrorMessage="1" sqref="B94" xr:uid="{7886B092-2839-4398-8DCD-BEA359810CCC}"/>
    <dataValidation type="whole" operator="greaterThanOrEqual" allowBlank="1" showInputMessage="1" showErrorMessage="1" error="Bid decimals set to zero._x000a__x000a_Contact Heidi Hirsbrunner (X3622)_x000a_                _x000a_to modify Incentive Spreadsheet." sqref="D15 D17 D19 D21 D33 D23 D25 D27 D29 D35:D50" xr:uid="{3B847C81-988C-4152-8767-04494A7EB812}">
      <formula1>0</formula1>
    </dataValidation>
    <dataValidation type="whole" operator="greaterThanOrEqual" allowBlank="1" showInputMessage="1" showErrorMessage="1" error="Bid decimals set to zero._x000a__x000a_Contact Heidi Hirsbrunner (X3622)_x000a_                   _x000a_to modify Incentive Spreadsheet." sqref="D91:D100 D115:D118" xr:uid="{B5AFE99B-CF7D-47B7-A895-207019229477}">
      <formula1>0</formula1>
    </dataValidation>
    <dataValidation type="whole" operator="greaterThanOrEqual" allowBlank="1" showInputMessage="1" showErrorMessage="1" error="Bid decimals set to zero._x000a__x000a_Contact Heidi Hirsbrunner (X3622) _x000a__x000a_to modify Incentive Spreadsheet." sqref="D102:D110" xr:uid="{574474A9-E719-4173-92CD-B6EC3C73709A}">
      <formula1>0</formula1>
    </dataValidation>
    <dataValidation type="whole" operator="greaterThanOrEqual" allowBlank="1" showInputMessage="1" showErrorMessage="1" error="Bid decimals set to zero._x000a__x000a_Contact Heidi Hirsbrunner (X3622)_x000a_                 _x000a_to modify Incentive Spreadsheet." sqref="D112:D113" xr:uid="{9C7F1772-2C04-492E-BAD3-532CC69E0EF6}">
      <formula1>0</formula1>
    </dataValidation>
    <dataValidation type="whole" operator="greaterThanOrEqual" allowBlank="1" showInputMessage="1" showErrorMessage="1" error="Bid decimals set to zero._x000a__x000a_Contact Heidi Hirsbrunner (X3622)_x000a__x000a_to modify Incentive Spreadsheet." sqref="D168:D171 D120:D122 D124:D125 D127:D129 D131:D132 D134:D135 D164 D166 D137" xr:uid="{07C68DA2-E86F-461C-9493-B2F125BADC9B}">
      <formula1>0</formula1>
    </dataValidation>
  </dataValidations>
  <printOptions horizontalCentered="1"/>
  <pageMargins left="0.45" right="0.45" top="0.6" bottom="0.25" header="0" footer="0.05"/>
  <pageSetup scale="81" fitToHeight="2" orientation="portrait" r:id="rId1"/>
  <headerFooter>
    <oddFooter>&amp;RRev. 04-23-2024</oddFooter>
  </headerFooter>
  <rowBreaks count="1" manualBreakCount="1">
    <brk id="78" max="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12600-34AB-4D13-A675-B5B644641693}">
  <dimension ref="A1:K209"/>
  <sheetViews>
    <sheetView workbookViewId="0">
      <selection sqref="A1:H1"/>
    </sheetView>
  </sheetViews>
  <sheetFormatPr defaultColWidth="9.140625" defaultRowHeight="12.75" x14ac:dyDescent="0.2"/>
  <cols>
    <col min="1" max="1" width="14.140625" style="6" bestFit="1" customWidth="1"/>
    <col min="2" max="2" width="31.7109375" style="6" customWidth="1"/>
    <col min="3" max="3" width="6.140625" style="6" customWidth="1"/>
    <col min="4" max="4" width="14.140625" style="37" customWidth="1"/>
    <col min="5" max="5" width="1.7109375" style="37" customWidth="1"/>
    <col min="6" max="6" width="12.42578125" style="38" customWidth="1"/>
    <col min="7" max="7" width="14.42578125" style="38" customWidth="1"/>
    <col min="8" max="8" width="16.7109375" style="38" bestFit="1" customWidth="1"/>
    <col min="9" max="16384" width="9.140625" style="6"/>
  </cols>
  <sheetData>
    <row r="1" spans="1:8" ht="18" x14ac:dyDescent="0.25">
      <c r="A1" s="208" t="s">
        <v>0</v>
      </c>
      <c r="B1" s="208"/>
      <c r="C1" s="208"/>
      <c r="D1" s="208"/>
      <c r="E1" s="208"/>
      <c r="F1" s="208"/>
      <c r="G1" s="208"/>
      <c r="H1" s="208"/>
    </row>
    <row r="2" spans="1:8" ht="15" x14ac:dyDescent="0.2">
      <c r="A2" s="7"/>
      <c r="B2" s="7"/>
      <c r="C2" s="11" t="s">
        <v>1</v>
      </c>
      <c r="D2" s="205" t="str">
        <f>+Sheet1!D2</f>
        <v>FP-24</v>
      </c>
      <c r="E2" s="8"/>
      <c r="F2" s="9"/>
      <c r="G2" s="9"/>
      <c r="H2" s="9"/>
    </row>
    <row r="3" spans="1:8" x14ac:dyDescent="0.2">
      <c r="A3" s="7"/>
      <c r="B3" s="7"/>
      <c r="C3" s="7"/>
      <c r="D3" s="10"/>
      <c r="E3" s="8"/>
      <c r="F3" s="9"/>
      <c r="G3" s="9"/>
      <c r="H3" s="9"/>
    </row>
    <row r="4" spans="1:8" x14ac:dyDescent="0.2">
      <c r="A4" s="11" t="s">
        <v>3</v>
      </c>
      <c r="B4" s="206" t="str">
        <f>+Sheet1!B4</f>
        <v>AZ Heidi Test(1)</v>
      </c>
      <c r="C4" s="206"/>
      <c r="D4" s="12"/>
      <c r="E4" s="12"/>
      <c r="F4" s="13"/>
      <c r="G4" s="14" t="s">
        <v>5</v>
      </c>
      <c r="H4" s="15">
        <f ca="1" xml:space="preserve"> TODAY()</f>
        <v>45532</v>
      </c>
    </row>
    <row r="5" spans="1:8" ht="6" customHeight="1" x14ac:dyDescent="0.2">
      <c r="A5" s="11"/>
      <c r="B5" s="206"/>
      <c r="C5" s="206"/>
      <c r="D5" s="12"/>
      <c r="E5" s="12"/>
      <c r="F5" s="13"/>
      <c r="G5" s="14"/>
      <c r="H5" s="15"/>
    </row>
    <row r="6" spans="1:8" ht="15" x14ac:dyDescent="0.2">
      <c r="A6" s="11" t="s">
        <v>6</v>
      </c>
      <c r="B6" s="212" t="str">
        <f>+Sheet1!B6</f>
        <v>Heidi National Park</v>
      </c>
      <c r="C6" s="212">
        <f>+Sheet1!C6</f>
        <v>0</v>
      </c>
      <c r="D6" s="212">
        <f>+Sheet1!D6</f>
        <v>0</v>
      </c>
      <c r="E6" s="212">
        <f>+Sheet1!E6</f>
        <v>0</v>
      </c>
      <c r="F6" s="212">
        <f>+Sheet1!F6</f>
        <v>0</v>
      </c>
      <c r="G6" s="153" t="s">
        <v>8</v>
      </c>
      <c r="H6" s="1" t="s">
        <v>106</v>
      </c>
    </row>
    <row r="7" spans="1:8" ht="5.25" customHeight="1" x14ac:dyDescent="0.2">
      <c r="A7" s="11"/>
      <c r="B7" s="206"/>
      <c r="C7" s="206"/>
      <c r="D7" s="206"/>
      <c r="E7" s="206"/>
      <c r="F7" s="206"/>
      <c r="G7" s="14"/>
      <c r="H7" s="16"/>
    </row>
    <row r="8" spans="1:8" ht="12.75" customHeight="1" x14ac:dyDescent="0.2">
      <c r="A8" s="11"/>
      <c r="B8" s="206"/>
      <c r="C8" s="206"/>
      <c r="D8" s="206"/>
      <c r="E8" s="206"/>
      <c r="F8" s="206"/>
      <c r="G8" s="14" t="s">
        <v>10</v>
      </c>
      <c r="H8" s="204" t="s">
        <v>107</v>
      </c>
    </row>
    <row r="9" spans="1:8" ht="6" customHeight="1" x14ac:dyDescent="0.2">
      <c r="A9" s="11"/>
      <c r="B9" s="206"/>
      <c r="C9" s="206"/>
      <c r="D9" s="206"/>
      <c r="E9" s="206"/>
      <c r="F9" s="206"/>
      <c r="G9" s="14"/>
      <c r="H9" s="16"/>
    </row>
    <row r="10" spans="1:8" ht="15" x14ac:dyDescent="0.2">
      <c r="A10" s="7"/>
      <c r="B10" s="7"/>
      <c r="C10" s="7"/>
      <c r="D10" s="8"/>
      <c r="E10" s="8"/>
      <c r="F10" s="9"/>
      <c r="G10" s="14" t="s">
        <v>12</v>
      </c>
      <c r="H10" s="205" t="str">
        <f>+Sheet1!H10</f>
        <v>US CUSTOMARY</v>
      </c>
    </row>
    <row r="11" spans="1:8" ht="13.5" thickBot="1" x14ac:dyDescent="0.25">
      <c r="A11" s="7"/>
      <c r="B11" s="7"/>
      <c r="C11" s="7"/>
      <c r="D11" s="8"/>
      <c r="E11" s="8"/>
      <c r="F11" s="9"/>
      <c r="G11" s="14"/>
      <c r="H11" s="13"/>
    </row>
    <row r="12" spans="1:8" ht="18.75" customHeight="1" thickBot="1" x14ac:dyDescent="0.25">
      <c r="A12" s="207" t="s">
        <v>14</v>
      </c>
      <c r="B12" s="207"/>
      <c r="C12" s="207"/>
      <c r="D12" s="207"/>
      <c r="E12" s="207"/>
      <c r="F12" s="207"/>
      <c r="G12" s="207"/>
      <c r="H12" s="207"/>
    </row>
    <row r="13" spans="1:8" x14ac:dyDescent="0.2">
      <c r="A13" s="17" t="s">
        <v>15</v>
      </c>
      <c r="B13" s="17"/>
      <c r="C13" s="17"/>
      <c r="D13" s="17" t="s">
        <v>16</v>
      </c>
      <c r="E13" s="17"/>
      <c r="F13" s="17"/>
      <c r="G13" s="17"/>
      <c r="H13" s="17"/>
    </row>
    <row r="14" spans="1:8" ht="13.5" thickBot="1" x14ac:dyDescent="0.25">
      <c r="A14" s="18" t="s">
        <v>17</v>
      </c>
      <c r="B14" s="19" t="s">
        <v>18</v>
      </c>
      <c r="C14" s="19"/>
      <c r="D14" s="20" t="str">
        <f>IF(Units="US CUSTOMARY"," (Ton or SY)"," (tonnes or m2)")</f>
        <v xml:space="preserve"> (Ton or SY)</v>
      </c>
      <c r="E14" s="21"/>
      <c r="F14" s="20" t="s">
        <v>19</v>
      </c>
      <c r="G14" s="20" t="str">
        <f>"Q_"&amp;IF(Units="US CUSTOMARY","Ton","t")&amp;" Unit Price"</f>
        <v>Q_Ton Unit Price</v>
      </c>
      <c r="H14" s="20" t="s">
        <v>20</v>
      </c>
    </row>
    <row r="15" spans="1:8" ht="13.5" thickTop="1" x14ac:dyDescent="0.2">
      <c r="A15" s="22" t="str">
        <f>IF(FP="FP-24","301","301")</f>
        <v>301</v>
      </c>
      <c r="B15" s="23" t="str">
        <f>IF(FP="FP-03","Untreated Aggregate Courses","Untreated Aggregate Courses")</f>
        <v>Untreated Aggregate Courses</v>
      </c>
      <c r="C15" s="23"/>
      <c r="D15" s="3"/>
      <c r="E15" s="144"/>
      <c r="F15" s="4"/>
      <c r="G15" s="25" t="str">
        <f>IF(ISNUMBER(F15),ROUND(F15*0.05,2),"-")</f>
        <v>-</v>
      </c>
      <c r="H15" s="25" t="str">
        <f>IF(AND(ISNUMBER(D15),ISNUMBER(F15)),D15*G15,"-")</f>
        <v>-</v>
      </c>
    </row>
    <row r="16" spans="1:8" ht="6" customHeight="1" x14ac:dyDescent="0.2">
      <c r="A16" s="22"/>
      <c r="B16" s="23"/>
      <c r="C16" s="23"/>
      <c r="D16" s="144"/>
      <c r="E16" s="144"/>
      <c r="F16" s="145"/>
      <c r="G16" s="25"/>
      <c r="H16" s="25"/>
    </row>
    <row r="17" spans="1:11" x14ac:dyDescent="0.2">
      <c r="A17" s="22" t="str">
        <f>IF(FP="FP-24","308","309")</f>
        <v>308</v>
      </c>
      <c r="B17" s="23" t="str">
        <f>IF(FP="FP-24","Emulsified Asphalt-Treated Base Course","Emulsified Asphalt-Treated Base Course")</f>
        <v>Emulsified Asphalt-Treated Base Course</v>
      </c>
      <c r="C17" s="23"/>
      <c r="D17" s="3"/>
      <c r="E17" s="144"/>
      <c r="F17" s="4"/>
      <c r="G17" s="25" t="str">
        <f>IF(ISNUMBER(F17),ROUND(F17*0.05,2),"-")</f>
        <v>-</v>
      </c>
      <c r="H17" s="25" t="str">
        <f>IF(AND(ISNUMBER(D17),ISNUMBER(F17)),D17*G17,"-")</f>
        <v>-</v>
      </c>
    </row>
    <row r="18" spans="1:11" ht="6" customHeight="1" x14ac:dyDescent="0.2">
      <c r="A18" s="22"/>
      <c r="B18" s="23"/>
      <c r="C18" s="23"/>
      <c r="D18" s="144"/>
      <c r="E18" s="144"/>
      <c r="F18" s="145"/>
      <c r="G18" s="25"/>
      <c r="H18" s="25"/>
    </row>
    <row r="19" spans="1:11" x14ac:dyDescent="0.2">
      <c r="A19" s="22" t="str">
        <f>IF(FP="FP-24","311","311")</f>
        <v>311</v>
      </c>
      <c r="B19" s="23" t="str">
        <f>IF(FP="FP-03","Aggregate Stabiliation","Stabilized Aggregate Surface Course")</f>
        <v>Stabilized Aggregate Surface Course</v>
      </c>
      <c r="C19" s="23"/>
      <c r="D19" s="3"/>
      <c r="E19" s="144"/>
      <c r="F19" s="4"/>
      <c r="G19" s="25" t="str">
        <f t="shared" ref="G19:G25" si="0">IF(ISNUMBER(F19),ROUND(F19*0.05,2),"-")</f>
        <v>-</v>
      </c>
      <c r="H19" s="25" t="str">
        <f>IF(AND(ISNUMBER(D19),ISNUMBER(F19)),D19*G19,"-")</f>
        <v>-</v>
      </c>
    </row>
    <row r="20" spans="1:11" ht="6" customHeight="1" x14ac:dyDescent="0.2">
      <c r="A20" s="22"/>
      <c r="B20" s="23"/>
      <c r="C20" s="23"/>
      <c r="D20" s="144"/>
      <c r="E20" s="144"/>
      <c r="F20" s="145"/>
      <c r="G20" s="25"/>
      <c r="H20" s="25"/>
    </row>
    <row r="21" spans="1:11" x14ac:dyDescent="0.2">
      <c r="A21" s="22" t="str">
        <f>IF(FP="FP-24","405","405")</f>
        <v>405</v>
      </c>
      <c r="B21" s="23" t="str">
        <f>IF(FP="FP-24","Open-Graded Asphalt Friction Course","Open-Graded Asphalt Friction Course")</f>
        <v>Open-Graded Asphalt Friction Course</v>
      </c>
      <c r="C21" s="23"/>
      <c r="D21" s="3"/>
      <c r="E21" s="144"/>
      <c r="F21" s="4"/>
      <c r="G21" s="25" t="str">
        <f t="shared" si="0"/>
        <v>-</v>
      </c>
      <c r="H21" s="25" t="str">
        <f>IF(AND(ISNUMBER(D21),ISNUMBER(F21)),D21*G21,"-")</f>
        <v>-</v>
      </c>
    </row>
    <row r="22" spans="1:11" ht="6" customHeight="1" x14ac:dyDescent="0.2">
      <c r="A22" s="22"/>
      <c r="B22" s="23"/>
      <c r="C22" s="23"/>
      <c r="D22" s="144"/>
      <c r="E22" s="144"/>
      <c r="F22" s="145"/>
      <c r="G22" s="25"/>
      <c r="H22" s="25"/>
    </row>
    <row r="23" spans="1:11" x14ac:dyDescent="0.2">
      <c r="A23" s="22" t="str">
        <f>IF(FP="FP-24","407","407")</f>
        <v>407</v>
      </c>
      <c r="B23" s="23" t="str">
        <f>IF(FP="FP-24","Chip Seal","Chip Seal")</f>
        <v>Chip Seal</v>
      </c>
      <c r="C23" s="23"/>
      <c r="D23" s="3"/>
      <c r="E23" s="144"/>
      <c r="F23" s="4"/>
      <c r="G23" s="25" t="str">
        <f t="shared" si="0"/>
        <v>-</v>
      </c>
      <c r="H23" s="25" t="str">
        <f>IF(AND(ISNUMBER(D23),ISNUMBER(F23)),D23*G23,"-")</f>
        <v>-</v>
      </c>
    </row>
    <row r="24" spans="1:11" ht="6" customHeight="1" x14ac:dyDescent="0.2">
      <c r="A24" s="22"/>
      <c r="B24" s="23"/>
      <c r="C24" s="23"/>
      <c r="D24" s="144"/>
      <c r="E24" s="144"/>
      <c r="F24" s="145"/>
      <c r="G24" s="25"/>
      <c r="H24" s="25"/>
    </row>
    <row r="25" spans="1:11" x14ac:dyDescent="0.2">
      <c r="A25" s="22" t="str">
        <f>IF(FP="FP-24","-","-")</f>
        <v>-</v>
      </c>
      <c r="B25" s="23" t="str">
        <f>IF(FP="FP-24","                      - ","                      -")</f>
        <v xml:space="preserve">                      - </v>
      </c>
      <c r="C25" s="23"/>
      <c r="D25" s="3"/>
      <c r="E25" s="144"/>
      <c r="F25" s="4"/>
      <c r="G25" s="25" t="str">
        <f t="shared" si="0"/>
        <v>-</v>
      </c>
      <c r="H25" s="25" t="str">
        <f>IF(AND(ISNUMBER(D25),ISNUMBER(F25)),D25*G25,"-")</f>
        <v>-</v>
      </c>
    </row>
    <row r="26" spans="1:11" ht="6" customHeight="1" x14ac:dyDescent="0.2">
      <c r="A26" s="22"/>
      <c r="B26" s="23"/>
      <c r="C26" s="23"/>
      <c r="D26" s="144"/>
      <c r="E26" s="144"/>
      <c r="F26" s="145"/>
      <c r="G26" s="25"/>
      <c r="H26" s="25"/>
    </row>
    <row r="27" spans="1:11" x14ac:dyDescent="0.2">
      <c r="A27" s="22"/>
      <c r="B27" s="23"/>
      <c r="C27" s="23"/>
      <c r="D27" s="144"/>
      <c r="E27" s="144"/>
      <c r="F27" s="145"/>
      <c r="G27" s="25"/>
      <c r="H27" s="25"/>
    </row>
    <row r="28" spans="1:11" ht="6" customHeight="1" x14ac:dyDescent="0.2">
      <c r="A28" s="22"/>
      <c r="B28" s="23"/>
      <c r="C28" s="23"/>
      <c r="D28" s="144"/>
      <c r="E28" s="144"/>
      <c r="F28" s="145"/>
      <c r="G28" s="25"/>
      <c r="H28" s="25"/>
    </row>
    <row r="29" spans="1:11" ht="13.5" thickBot="1" x14ac:dyDescent="0.25">
      <c r="A29" s="22"/>
      <c r="B29" s="23"/>
      <c r="C29" s="23"/>
      <c r="D29" s="144"/>
      <c r="E29" s="144"/>
      <c r="F29" s="145"/>
      <c r="G29" s="25"/>
      <c r="H29" s="25"/>
    </row>
    <row r="30" spans="1:11" ht="18.75" customHeight="1" thickBot="1" x14ac:dyDescent="0.25">
      <c r="A30" s="207" t="s">
        <v>21</v>
      </c>
      <c r="B30" s="207"/>
      <c r="C30" s="207"/>
      <c r="D30" s="207"/>
      <c r="E30" s="207"/>
      <c r="F30" s="207"/>
      <c r="G30" s="207"/>
      <c r="H30" s="207"/>
      <c r="K30" s="27"/>
    </row>
    <row r="31" spans="1:11" ht="13.5" customHeight="1" x14ac:dyDescent="0.2">
      <c r="A31" s="28" t="s">
        <v>15</v>
      </c>
      <c r="B31" s="28"/>
      <c r="C31" s="17"/>
      <c r="D31" s="17" t="s">
        <v>16</v>
      </c>
      <c r="E31" s="28"/>
      <c r="F31" s="28"/>
      <c r="G31" s="28"/>
      <c r="H31" s="28"/>
      <c r="K31" s="27"/>
    </row>
    <row r="32" spans="1:11" ht="13.5" customHeight="1" thickBot="1" x14ac:dyDescent="0.25">
      <c r="A32" s="18" t="s">
        <v>17</v>
      </c>
      <c r="B32" s="19" t="s">
        <v>18</v>
      </c>
      <c r="C32" s="19"/>
      <c r="D32" s="20" t="str">
        <f>IF(Units="US CUSTOMARY"," (Ton or SY)"," (tonnes or m2)")</f>
        <v xml:space="preserve"> (Ton or SY)</v>
      </c>
      <c r="E32" s="21"/>
      <c r="F32" s="20" t="s">
        <v>19</v>
      </c>
      <c r="G32" s="20" t="str">
        <f>"Q_"&amp;IF(Units="US CUSTOMARY","Ton","t")&amp;" Unit Price"</f>
        <v>Q_Ton Unit Price</v>
      </c>
      <c r="H32" s="20" t="s">
        <v>20</v>
      </c>
    </row>
    <row r="33" spans="1:8" ht="13.5" customHeight="1" thickTop="1" x14ac:dyDescent="0.2">
      <c r="A33" s="22" t="str">
        <f>IF(FP="FP-24","401","401")</f>
        <v>401</v>
      </c>
      <c r="B33" s="23" t="str">
        <f>IF(FP="FP-24","ACP by Gyratory Mix Design","ACP by Gyratory Mix Design")</f>
        <v>ACP by Gyratory Mix Design</v>
      </c>
      <c r="C33" s="23"/>
      <c r="D33" s="3"/>
      <c r="E33" s="144"/>
      <c r="F33" s="4"/>
      <c r="G33" s="25" t="str">
        <f>IF(ISNUMBER(F33),ROUND(F33*0.06,2),"-")</f>
        <v>-</v>
      </c>
      <c r="H33" s="25" t="str">
        <f>IF(AND(ISNUMBER(D33),ISNUMBER(F33)),D33*G33,"-")</f>
        <v>-</v>
      </c>
    </row>
    <row r="34" spans="1:8" ht="6" customHeight="1" x14ac:dyDescent="0.2">
      <c r="A34" s="22"/>
      <c r="B34" s="23"/>
      <c r="C34" s="23"/>
      <c r="D34" s="144"/>
      <c r="E34" s="144"/>
      <c r="F34" s="145"/>
      <c r="G34" s="25"/>
      <c r="H34" s="25"/>
    </row>
    <row r="35" spans="1:8" ht="13.5" customHeight="1" x14ac:dyDescent="0.2">
      <c r="A35" s="22" t="str">
        <f>IF(FP="FP-24","402","402")</f>
        <v>402</v>
      </c>
      <c r="B35" s="23" t="str">
        <f>IF(FP="FP-24","ACP by Hveem or Marshall Mix Design","ACP by Hveem or Marshall Mix Design")</f>
        <v>ACP by Hveem or Marshall Mix Design</v>
      </c>
      <c r="C35" s="23"/>
      <c r="D35" s="3"/>
      <c r="E35" s="144"/>
      <c r="F35" s="4"/>
      <c r="G35" s="25" t="str">
        <f>IF(ISNUMBER(F35),ROUND(F35*0.06,2),"-")</f>
        <v>-</v>
      </c>
      <c r="H35" s="25" t="str">
        <f>IF(AND(ISNUMBER(D35),ISNUMBER(F35)),D35*G35,"-")</f>
        <v>-</v>
      </c>
    </row>
    <row r="36" spans="1:8" ht="6" customHeight="1" x14ac:dyDescent="0.2">
      <c r="A36" s="22"/>
      <c r="B36" s="23"/>
      <c r="C36" s="23"/>
      <c r="D36" s="144"/>
      <c r="E36" s="144"/>
      <c r="F36" s="145"/>
      <c r="G36" s="25"/>
      <c r="H36" s="25"/>
    </row>
    <row r="37" spans="1:8" ht="13.5" customHeight="1" x14ac:dyDescent="0.2">
      <c r="A37" s="22" t="str">
        <f>IF(FP="FP-24","-","-")</f>
        <v>-</v>
      </c>
      <c r="B37" s="23" t="str">
        <f>IF(FP="FP-24","                      -","                      -")</f>
        <v xml:space="preserve">                      -</v>
      </c>
      <c r="C37" s="23"/>
      <c r="D37" s="3"/>
      <c r="E37" s="144"/>
      <c r="F37" s="4"/>
      <c r="G37" s="25" t="str">
        <f>IF(ISNUMBER(F37),ROUND(F37*0.06,2),"-")</f>
        <v>-</v>
      </c>
      <c r="H37" s="25" t="str">
        <f>IF(AND(ISNUMBER(D37),ISNUMBER(F37)),D37*G37,"-")</f>
        <v>-</v>
      </c>
    </row>
    <row r="38" spans="1:8" ht="6" customHeight="1" x14ac:dyDescent="0.2">
      <c r="A38" s="22"/>
      <c r="B38" s="23"/>
      <c r="C38" s="23"/>
      <c r="D38" s="144"/>
      <c r="E38" s="144"/>
      <c r="F38" s="145"/>
      <c r="G38" s="25"/>
      <c r="H38" s="25"/>
    </row>
    <row r="39" spans="1:8" x14ac:dyDescent="0.2">
      <c r="A39" s="22"/>
      <c r="B39" s="23"/>
      <c r="C39" s="23"/>
      <c r="D39" s="144"/>
      <c r="E39" s="144"/>
      <c r="F39" s="145"/>
      <c r="G39" s="25"/>
      <c r="H39" s="25"/>
    </row>
    <row r="40" spans="1:8" ht="6" customHeight="1" x14ac:dyDescent="0.2">
      <c r="A40" s="22"/>
      <c r="B40" s="23"/>
      <c r="C40" s="23"/>
      <c r="D40" s="144"/>
      <c r="E40" s="144"/>
      <c r="F40" s="145"/>
      <c r="G40" s="25"/>
      <c r="H40" s="25"/>
    </row>
    <row r="41" spans="1:8" ht="13.5" thickBot="1" x14ac:dyDescent="0.25">
      <c r="A41" s="22"/>
      <c r="B41" s="23"/>
      <c r="C41" s="23"/>
      <c r="D41" s="144"/>
      <c r="E41" s="144"/>
      <c r="F41" s="145"/>
      <c r="G41" s="25"/>
      <c r="H41" s="25"/>
    </row>
    <row r="42" spans="1:8" ht="18.75" customHeight="1" thickBot="1" x14ac:dyDescent="0.25">
      <c r="A42" s="207" t="s">
        <v>22</v>
      </c>
      <c r="B42" s="207"/>
      <c r="C42" s="207"/>
      <c r="D42" s="207"/>
      <c r="E42" s="207"/>
      <c r="F42" s="207"/>
      <c r="G42" s="207"/>
      <c r="H42" s="207"/>
    </row>
    <row r="43" spans="1:8" ht="13.5" customHeight="1" x14ac:dyDescent="0.2">
      <c r="A43" s="28" t="s">
        <v>15</v>
      </c>
      <c r="B43" s="28"/>
      <c r="C43" s="17"/>
      <c r="D43" s="17" t="s">
        <v>16</v>
      </c>
      <c r="E43" s="28"/>
      <c r="F43" s="28"/>
      <c r="G43" s="28"/>
      <c r="H43" s="28"/>
    </row>
    <row r="44" spans="1:8" ht="13.5" customHeight="1" thickBot="1" x14ac:dyDescent="0.25">
      <c r="A44" s="18" t="s">
        <v>17</v>
      </c>
      <c r="B44" s="19" t="s">
        <v>18</v>
      </c>
      <c r="C44" s="19"/>
      <c r="D44" s="20" t="str">
        <f>IF(Units="US CUSTOMARY"," (Ton or SY)"," (tonnes or m2)")</f>
        <v xml:space="preserve"> (Ton or SY)</v>
      </c>
      <c r="E44" s="21"/>
      <c r="F44" s="20" t="s">
        <v>19</v>
      </c>
      <c r="G44" s="20" t="str">
        <f>"Q_"&amp;IF(Units="US CUSTOMARY","Ton","t")&amp;" Unit Price"</f>
        <v>Q_Ton Unit Price</v>
      </c>
      <c r="H44" s="20" t="s">
        <v>20</v>
      </c>
    </row>
    <row r="45" spans="1:8" ht="13.5" customHeight="1" thickTop="1" x14ac:dyDescent="0.2">
      <c r="A45" s="22" t="str">
        <f>IF(FP="FP-24","404"," -")</f>
        <v>404</v>
      </c>
      <c r="B45" s="23" t="str">
        <f>IF(FP="FP-24","Thin Lift Asphalt Concrete Pavement","                      -")</f>
        <v>Thin Lift Asphalt Concrete Pavement</v>
      </c>
      <c r="C45" s="23"/>
      <c r="D45" s="3"/>
      <c r="E45" s="144"/>
      <c r="F45" s="4"/>
      <c r="G45" s="25" t="str">
        <f>IF(ISNUMBER(F45),ROUND(F45*0.01,2),"-")</f>
        <v>-</v>
      </c>
      <c r="H45" s="25" t="str">
        <f>IF(AND(ISNUMBER(D45),ISNUMBER(F45)),D45*G45,"-")</f>
        <v>-</v>
      </c>
    </row>
    <row r="46" spans="1:8" ht="6" customHeight="1" x14ac:dyDescent="0.2">
      <c r="A46" s="22"/>
      <c r="B46" s="23"/>
      <c r="C46" s="23"/>
      <c r="D46" s="144"/>
      <c r="E46" s="144"/>
      <c r="F46" s="145"/>
      <c r="G46" s="25"/>
      <c r="H46" s="25"/>
    </row>
    <row r="47" spans="1:8" ht="13.5" customHeight="1" x14ac:dyDescent="0.2">
      <c r="A47" s="22"/>
      <c r="B47" s="23"/>
      <c r="C47" s="23"/>
      <c r="D47" s="144"/>
      <c r="E47" s="144"/>
      <c r="F47" s="145"/>
      <c r="G47" s="25"/>
      <c r="H47" s="25"/>
    </row>
    <row r="48" spans="1:8" ht="6" customHeight="1" x14ac:dyDescent="0.2">
      <c r="A48" s="22"/>
      <c r="B48" s="23"/>
      <c r="C48" s="23"/>
      <c r="D48" s="144"/>
      <c r="E48" s="144"/>
      <c r="F48" s="145"/>
      <c r="G48" s="25"/>
      <c r="H48" s="25"/>
    </row>
    <row r="49" spans="1:8" ht="13.5" customHeight="1" x14ac:dyDescent="0.2">
      <c r="A49" s="22"/>
      <c r="B49" s="23"/>
      <c r="C49" s="23"/>
      <c r="D49" s="144"/>
      <c r="E49" s="144"/>
      <c r="F49" s="145"/>
      <c r="G49" s="25"/>
      <c r="H49" s="25"/>
    </row>
    <row r="50" spans="1:8" x14ac:dyDescent="0.2">
      <c r="A50" s="22"/>
      <c r="B50" s="23"/>
      <c r="C50" s="23"/>
      <c r="D50" s="24"/>
      <c r="E50" s="24"/>
      <c r="F50" s="26"/>
      <c r="G50" s="25"/>
      <c r="H50" s="25"/>
    </row>
    <row r="51" spans="1:8" x14ac:dyDescent="0.2">
      <c r="A51" s="7"/>
      <c r="B51" s="7"/>
      <c r="C51" s="7"/>
      <c r="D51" s="8"/>
      <c r="E51" s="8"/>
      <c r="F51" s="9"/>
      <c r="G51" s="9"/>
      <c r="H51" s="9"/>
    </row>
    <row r="52" spans="1:8" x14ac:dyDescent="0.2">
      <c r="A52" s="211" t="s">
        <v>23</v>
      </c>
      <c r="B52" s="211"/>
      <c r="C52" s="211"/>
      <c r="D52" s="211"/>
      <c r="E52" s="211"/>
      <c r="F52" s="211"/>
      <c r="G52" s="211"/>
      <c r="H52" s="29">
        <f>SUM(H15,H17,H19,H21,H23,H25,H33,H35,H37,H45)</f>
        <v>0</v>
      </c>
    </row>
    <row r="53" spans="1:8" x14ac:dyDescent="0.2">
      <c r="A53" s="31"/>
      <c r="B53" s="31"/>
      <c r="C53" s="31"/>
      <c r="D53" s="31"/>
      <c r="E53" s="31"/>
      <c r="F53" s="31"/>
      <c r="G53" s="31"/>
      <c r="H53" s="32"/>
    </row>
    <row r="54" spans="1:8" ht="6" customHeight="1" x14ac:dyDescent="0.2">
      <c r="A54" s="31"/>
      <c r="B54" s="31"/>
      <c r="C54" s="31"/>
      <c r="D54" s="31"/>
      <c r="E54" s="31"/>
      <c r="F54" s="31"/>
      <c r="G54" s="31"/>
      <c r="H54" s="32"/>
    </row>
    <row r="55" spans="1:8" x14ac:dyDescent="0.2">
      <c r="A55" s="31"/>
      <c r="B55" s="31"/>
      <c r="C55" s="31"/>
      <c r="D55" s="31"/>
      <c r="E55" s="31"/>
      <c r="F55" s="31"/>
      <c r="G55" s="31"/>
      <c r="H55" s="32"/>
    </row>
    <row r="56" spans="1:8" ht="13.5" thickBot="1" x14ac:dyDescent="0.25">
      <c r="A56" s="7"/>
      <c r="B56" s="7"/>
      <c r="C56" s="7"/>
      <c r="D56" s="8"/>
      <c r="E56" s="8"/>
      <c r="F56" s="9"/>
      <c r="G56" s="9"/>
      <c r="H56" s="9"/>
    </row>
    <row r="57" spans="1:8" ht="18.75" thickBot="1" x14ac:dyDescent="0.25">
      <c r="A57" s="210" t="s">
        <v>24</v>
      </c>
      <c r="B57" s="210"/>
      <c r="C57" s="210"/>
      <c r="D57" s="210"/>
      <c r="E57" s="210"/>
      <c r="F57" s="210"/>
      <c r="G57" s="210"/>
      <c r="H57" s="210"/>
    </row>
    <row r="58" spans="1:8" x14ac:dyDescent="0.2">
      <c r="A58" s="28" t="s">
        <v>15</v>
      </c>
      <c r="B58" s="28"/>
      <c r="C58" s="28"/>
      <c r="D58" s="28" t="s">
        <v>25</v>
      </c>
      <c r="E58" s="28"/>
      <c r="F58" s="28"/>
      <c r="G58" s="28"/>
      <c r="H58" s="28"/>
    </row>
    <row r="59" spans="1:8" ht="13.5" thickBot="1" x14ac:dyDescent="0.25">
      <c r="A59" s="18" t="s">
        <v>17</v>
      </c>
      <c r="B59" s="19" t="s">
        <v>18</v>
      </c>
      <c r="C59" s="19"/>
      <c r="D59" s="21" t="str">
        <f>"Lane-"&amp;IF(Units="US CUSTOMARY","miles","kilometers")</f>
        <v>Lane-miles</v>
      </c>
      <c r="E59" s="21"/>
      <c r="F59" s="20"/>
      <c r="G59" s="20"/>
      <c r="H59" s="20" t="s">
        <v>20</v>
      </c>
    </row>
    <row r="60" spans="1:8" ht="13.5" thickTop="1" x14ac:dyDescent="0.2">
      <c r="A60" s="22">
        <v>401</v>
      </c>
      <c r="B60" s="7" t="s">
        <v>103</v>
      </c>
      <c r="C60" s="7"/>
      <c r="D60" s="5"/>
      <c r="E60" s="33"/>
      <c r="F60" s="25"/>
      <c r="G60" s="25"/>
      <c r="H60" s="25" t="str">
        <f>IF(ISNUMBER(D60),IF(FP="FP-14",(IF(Units="US CUSTOMARY",80000,49600)*(1.05-1)*D60),(IF(FP="FP-24",(IF(Units="Us Customary",100000,62200)*(1.05-1)*D60)))),"-")</f>
        <v>-</v>
      </c>
    </row>
    <row r="61" spans="1:8" ht="6" customHeight="1" x14ac:dyDescent="0.2">
      <c r="A61" s="22"/>
      <c r="B61" s="7"/>
      <c r="C61" s="7"/>
      <c r="D61" s="146"/>
      <c r="E61" s="33"/>
      <c r="F61" s="25"/>
      <c r="G61" s="25"/>
      <c r="H61" s="25"/>
    </row>
    <row r="62" spans="1:8" x14ac:dyDescent="0.2">
      <c r="A62" s="22">
        <v>402</v>
      </c>
      <c r="B62" s="7" t="str">
        <f>IF(FP="FP-03","Hot ACP By Hveem or Marshall Mix Design","ACP By Hveem or Marshall Mix Design")</f>
        <v>ACP By Hveem or Marshall Mix Design</v>
      </c>
      <c r="C62" s="7"/>
      <c r="D62" s="5"/>
      <c r="E62" s="33"/>
      <c r="F62" s="25"/>
      <c r="G62" s="25"/>
      <c r="H62" s="25" t="str">
        <f>IF(ISNUMBER(D62),IF(FP="FP-14",(IF(Units="US CUSTOMARY",80000,49600)*(1.05-1)*D62),(IF(FP="FP-24",(IF(Units="Us Customary",100000,62200)*(1.05-1)*D62)))),"-")</f>
        <v>-</v>
      </c>
    </row>
    <row r="63" spans="1:8" x14ac:dyDescent="0.2">
      <c r="A63" s="22"/>
      <c r="B63" s="7"/>
      <c r="C63" s="7"/>
      <c r="D63" s="33"/>
      <c r="E63" s="33"/>
      <c r="F63" s="25"/>
      <c r="G63" s="25"/>
      <c r="H63" s="25"/>
    </row>
    <row r="64" spans="1:8" x14ac:dyDescent="0.2">
      <c r="A64" s="7"/>
      <c r="B64" s="7"/>
      <c r="C64" s="7"/>
      <c r="D64" s="8"/>
      <c r="E64" s="8"/>
      <c r="F64" s="9"/>
      <c r="G64" s="9"/>
      <c r="H64" s="9"/>
    </row>
    <row r="65" spans="1:8" x14ac:dyDescent="0.2">
      <c r="A65" s="211" t="s">
        <v>26</v>
      </c>
      <c r="B65" s="211"/>
      <c r="C65" s="211"/>
      <c r="D65" s="211"/>
      <c r="E65" s="211"/>
      <c r="F65" s="211"/>
      <c r="G65" s="211"/>
      <c r="H65" s="34">
        <f>SUM(H60,H62)</f>
        <v>0</v>
      </c>
    </row>
    <row r="66" spans="1:8" x14ac:dyDescent="0.2">
      <c r="A66" s="7"/>
      <c r="B66" s="7"/>
      <c r="C66" s="7"/>
      <c r="D66" s="8"/>
      <c r="E66" s="8"/>
      <c r="F66" s="9"/>
      <c r="G66" s="35"/>
      <c r="H66" s="36"/>
    </row>
    <row r="67" spans="1:8" x14ac:dyDescent="0.2">
      <c r="A67" s="39" t="s">
        <v>27</v>
      </c>
      <c r="B67" s="40" t="s">
        <v>28</v>
      </c>
      <c r="C67" s="40"/>
      <c r="D67" s="8"/>
      <c r="E67" s="8"/>
      <c r="F67" s="9"/>
      <c r="G67" s="9"/>
      <c r="H67" s="9"/>
    </row>
    <row r="68" spans="1:8" x14ac:dyDescent="0.2">
      <c r="A68" s="40"/>
      <c r="B68" s="40" t="s">
        <v>29</v>
      </c>
      <c r="C68" s="40"/>
      <c r="D68" s="8"/>
      <c r="E68" s="8"/>
      <c r="F68" s="9"/>
      <c r="G68" s="9"/>
      <c r="H68" s="9"/>
    </row>
    <row r="69" spans="1:8" x14ac:dyDescent="0.2">
      <c r="A69" s="40"/>
      <c r="B69" s="40"/>
      <c r="C69" s="40"/>
      <c r="D69" s="8"/>
      <c r="E69" s="8"/>
      <c r="F69" s="9"/>
      <c r="G69" s="9"/>
      <c r="H69" s="9"/>
    </row>
    <row r="70" spans="1:8" x14ac:dyDescent="0.2">
      <c r="A70" s="39" t="s">
        <v>30</v>
      </c>
      <c r="B70" s="40" t="s">
        <v>31</v>
      </c>
      <c r="C70" s="40"/>
      <c r="D70" s="8"/>
      <c r="E70" s="8"/>
      <c r="F70" s="9"/>
      <c r="G70" s="9"/>
      <c r="H70" s="9"/>
    </row>
    <row r="71" spans="1:8" x14ac:dyDescent="0.2">
      <c r="A71" s="40"/>
      <c r="B71" s="40" t="s">
        <v>29</v>
      </c>
      <c r="C71" s="40"/>
      <c r="D71" s="8"/>
      <c r="E71" s="8"/>
      <c r="F71" s="9"/>
      <c r="G71" s="9"/>
      <c r="H71" s="9"/>
    </row>
    <row r="72" spans="1:8" x14ac:dyDescent="0.2">
      <c r="A72" s="7"/>
      <c r="B72" s="7"/>
      <c r="C72" s="40"/>
      <c r="D72" s="8"/>
      <c r="E72" s="8"/>
      <c r="F72" s="9"/>
      <c r="G72" s="9"/>
      <c r="H72" s="9"/>
    </row>
    <row r="73" spans="1:8" x14ac:dyDescent="0.2">
      <c r="A73" s="39" t="s">
        <v>32</v>
      </c>
      <c r="B73" s="40" t="s">
        <v>31</v>
      </c>
      <c r="C73" s="40"/>
      <c r="D73" s="8"/>
      <c r="E73" s="8"/>
      <c r="F73" s="9"/>
      <c r="G73" s="9"/>
      <c r="H73" s="9"/>
    </row>
    <row r="74" spans="1:8" x14ac:dyDescent="0.2">
      <c r="A74" s="40"/>
      <c r="B74" s="40" t="s">
        <v>29</v>
      </c>
      <c r="C74" s="40"/>
      <c r="D74" s="8"/>
      <c r="E74" s="8"/>
      <c r="F74" s="9"/>
      <c r="G74" s="9"/>
      <c r="H74" s="9"/>
    </row>
    <row r="75" spans="1:8" x14ac:dyDescent="0.2">
      <c r="A75" s="40"/>
      <c r="B75" s="40"/>
      <c r="C75" s="40"/>
      <c r="D75" s="8"/>
      <c r="E75" s="8"/>
      <c r="F75" s="9"/>
      <c r="G75" s="9"/>
      <c r="H75" s="9"/>
    </row>
    <row r="76" spans="1:8" x14ac:dyDescent="0.2">
      <c r="A76" s="190" t="s">
        <v>33</v>
      </c>
      <c r="B76" s="191" t="str">
        <f>"Incentive Amt = (Lane-"&amp;IF(Units="US CUSTOMARY","miles","kilometers")&amp;" x "&amp;IF(FP="FP-14",IF(Units="US CUSTOMARY","80,000 x 0.05)","49,600 x 0.05)"),IF(FP="FP-24",IF(Units="US CUSTOMARY","100,000 x 0.05)","62,200 x 0.05)")))</f>
        <v>Incentive Amt = (Lane-miles x 100,000 x 0.05)</v>
      </c>
      <c r="C76" s="40"/>
      <c r="D76" s="8"/>
      <c r="E76" s="8"/>
      <c r="F76" s="9"/>
      <c r="G76" s="9"/>
      <c r="H76" s="9"/>
    </row>
    <row r="77" spans="1:8" x14ac:dyDescent="0.2">
      <c r="A77" s="190"/>
      <c r="B77" s="191"/>
      <c r="C77" s="40"/>
      <c r="D77" s="8"/>
      <c r="E77" s="8"/>
      <c r="F77" s="9"/>
      <c r="G77" s="9"/>
      <c r="H77" s="9"/>
    </row>
    <row r="78" spans="1:8" x14ac:dyDescent="0.2">
      <c r="A78" s="190"/>
      <c r="B78" s="191"/>
      <c r="C78" s="40"/>
      <c r="D78" s="8"/>
      <c r="E78" s="8"/>
      <c r="F78" s="9"/>
      <c r="G78" s="9"/>
      <c r="H78" s="9"/>
    </row>
    <row r="79" spans="1:8" ht="18" x14ac:dyDescent="0.25">
      <c r="A79" s="208" t="s">
        <v>34</v>
      </c>
      <c r="B79" s="208"/>
      <c r="C79" s="208"/>
      <c r="D79" s="208"/>
      <c r="E79" s="208"/>
      <c r="F79" s="208"/>
      <c r="G79" s="208"/>
      <c r="H79" s="208"/>
    </row>
    <row r="80" spans="1:8" x14ac:dyDescent="0.2">
      <c r="A80" s="7"/>
      <c r="B80" s="7"/>
      <c r="C80" s="11" t="s">
        <v>1</v>
      </c>
      <c r="D80" s="12" t="str">
        <f>+Sheet1!D2</f>
        <v>FP-24</v>
      </c>
      <c r="E80" s="8"/>
      <c r="F80" s="9"/>
      <c r="G80" s="9"/>
      <c r="H80" s="9"/>
    </row>
    <row r="81" spans="1:8" x14ac:dyDescent="0.2">
      <c r="A81" s="7"/>
      <c r="B81" s="7"/>
      <c r="C81" s="7"/>
      <c r="D81" s="10"/>
      <c r="E81" s="8"/>
      <c r="F81" s="9"/>
      <c r="G81" s="9"/>
      <c r="H81" s="9"/>
    </row>
    <row r="82" spans="1:8" x14ac:dyDescent="0.2">
      <c r="A82" s="11" t="s">
        <v>3</v>
      </c>
      <c r="B82" s="206" t="str">
        <f>+B4</f>
        <v>AZ Heidi Test(1)</v>
      </c>
      <c r="C82" s="206"/>
      <c r="D82" s="12"/>
      <c r="E82" s="12"/>
      <c r="F82" s="13"/>
      <c r="G82" s="14" t="s">
        <v>5</v>
      </c>
      <c r="H82" s="15">
        <f ca="1" xml:space="preserve"> TODAY()</f>
        <v>45532</v>
      </c>
    </row>
    <row r="83" spans="1:8" ht="4.5" customHeight="1" x14ac:dyDescent="0.2">
      <c r="A83" s="11"/>
      <c r="B83" s="206"/>
      <c r="C83" s="206"/>
      <c r="D83" s="12"/>
      <c r="E83" s="12"/>
      <c r="F83" s="13"/>
      <c r="G83" s="14"/>
      <c r="H83" s="15"/>
    </row>
    <row r="84" spans="1:8" x14ac:dyDescent="0.2">
      <c r="A84" s="11" t="s">
        <v>6</v>
      </c>
      <c r="B84" s="212" t="str">
        <f>+B6</f>
        <v>Heidi National Park</v>
      </c>
      <c r="C84" s="212"/>
      <c r="D84" s="212"/>
      <c r="E84" s="212"/>
      <c r="F84" s="212"/>
      <c r="G84" s="14" t="str">
        <f>+G6</f>
        <v xml:space="preserve">Schedule Type: </v>
      </c>
      <c r="H84" s="16" t="str">
        <f>+H6</f>
        <v>Option</v>
      </c>
    </row>
    <row r="85" spans="1:8" x14ac:dyDescent="0.2">
      <c r="A85" s="11"/>
      <c r="B85" s="206"/>
      <c r="C85" s="206"/>
      <c r="D85" s="206"/>
      <c r="E85" s="206"/>
      <c r="F85" s="206"/>
      <c r="G85" s="14" t="str">
        <f>+G8</f>
        <v>Schedule Letter:</v>
      </c>
      <c r="H85" s="16" t="str">
        <f>+H8</f>
        <v>X</v>
      </c>
    </row>
    <row r="86" spans="1:8" x14ac:dyDescent="0.2">
      <c r="A86" s="7"/>
      <c r="B86" s="7"/>
      <c r="C86" s="7"/>
      <c r="D86" s="8"/>
      <c r="E86" s="8"/>
      <c r="F86" s="9"/>
      <c r="G86" s="14" t="s">
        <v>12</v>
      </c>
      <c r="H86" s="13" t="str">
        <f>+Units</f>
        <v>US CUSTOMARY</v>
      </c>
    </row>
    <row r="87" spans="1:8" ht="6.75" customHeight="1" thickBot="1" x14ac:dyDescent="0.25">
      <c r="A87" s="7"/>
      <c r="B87" s="7"/>
      <c r="C87" s="7"/>
      <c r="D87" s="8"/>
      <c r="E87" s="8"/>
      <c r="F87" s="9"/>
      <c r="G87" s="14"/>
      <c r="H87" s="13"/>
    </row>
    <row r="88" spans="1:8" ht="19.5" customHeight="1" thickBot="1" x14ac:dyDescent="0.25">
      <c r="A88" s="129" t="s">
        <v>35</v>
      </c>
      <c r="B88" s="130"/>
      <c r="C88" s="130"/>
      <c r="D88" s="130"/>
      <c r="E88" s="130"/>
      <c r="F88" s="130"/>
      <c r="G88" s="130"/>
      <c r="H88" s="131"/>
    </row>
    <row r="89" spans="1:8" ht="5.25" customHeight="1" x14ac:dyDescent="0.2">
      <c r="A89" s="17"/>
      <c r="B89" s="43"/>
      <c r="C89" s="43"/>
      <c r="D89" s="44"/>
      <c r="E89" s="45"/>
      <c r="F89" s="44"/>
      <c r="G89" s="44"/>
      <c r="H89" s="44"/>
    </row>
    <row r="90" spans="1:8" x14ac:dyDescent="0.2">
      <c r="A90" s="56" t="s">
        <v>36</v>
      </c>
      <c r="B90" s="57"/>
      <c r="C90" s="58" t="s">
        <v>37</v>
      </c>
      <c r="D90" s="59" t="str">
        <f>IF(Units="US CUSTOMARY"," CUYD"," m3")</f>
        <v xml:space="preserve"> CUYD</v>
      </c>
      <c r="E90" s="60"/>
      <c r="F90" s="61" t="s">
        <v>38</v>
      </c>
      <c r="G90" s="44"/>
      <c r="H90" s="44"/>
    </row>
    <row r="91" spans="1:8" x14ac:dyDescent="0.2">
      <c r="A91" s="87">
        <v>20401</v>
      </c>
      <c r="B91" s="88" t="s">
        <v>39</v>
      </c>
      <c r="C91" s="215">
        <f>IF(Units="US Customary", 0.3, 0.39)</f>
        <v>0.3</v>
      </c>
      <c r="D91" s="90"/>
      <c r="E91" s="91"/>
      <c r="F91" s="108" t="str">
        <f>IF(ISNUMBER(D91),+C$91*D91, "-")</f>
        <v>-</v>
      </c>
      <c r="G91" s="25"/>
      <c r="H91" s="25"/>
    </row>
    <row r="92" spans="1:8" ht="12.75" customHeight="1" x14ac:dyDescent="0.2">
      <c r="A92" s="87">
        <v>20402</v>
      </c>
      <c r="B92" s="88" t="s">
        <v>40</v>
      </c>
      <c r="C92" s="216"/>
      <c r="D92" s="90"/>
      <c r="E92" s="91"/>
      <c r="F92" s="108" t="str">
        <f t="shared" ref="F92:F100" si="1">IF(ISNUMBER(D92),+C$91*D92, "-")</f>
        <v>-</v>
      </c>
      <c r="G92" s="25"/>
      <c r="H92" s="25"/>
    </row>
    <row r="93" spans="1:8" ht="12.75" customHeight="1" x14ac:dyDescent="0.2">
      <c r="A93" s="87">
        <v>20403</v>
      </c>
      <c r="B93" s="88" t="s">
        <v>41</v>
      </c>
      <c r="C93" s="216"/>
      <c r="D93" s="90"/>
      <c r="E93" s="91"/>
      <c r="F93" s="108" t="str">
        <f t="shared" si="1"/>
        <v>-</v>
      </c>
      <c r="G93" s="25"/>
      <c r="H93" s="25"/>
    </row>
    <row r="94" spans="1:8" ht="12.75" customHeight="1" x14ac:dyDescent="0.2">
      <c r="A94" s="87">
        <v>20404</v>
      </c>
      <c r="B94" s="89" t="s">
        <v>42</v>
      </c>
      <c r="C94" s="216"/>
      <c r="D94" s="90"/>
      <c r="E94" s="91"/>
      <c r="F94" s="108" t="str">
        <f t="shared" si="1"/>
        <v>-</v>
      </c>
      <c r="G94" s="25"/>
      <c r="H94" s="25"/>
    </row>
    <row r="95" spans="1:8" ht="12.75" customHeight="1" x14ac:dyDescent="0.2">
      <c r="A95" s="87">
        <v>20410</v>
      </c>
      <c r="B95" s="89" t="s">
        <v>43</v>
      </c>
      <c r="C95" s="216"/>
      <c r="D95" s="90"/>
      <c r="E95" s="91"/>
      <c r="F95" s="108" t="str">
        <f t="shared" si="1"/>
        <v>-</v>
      </c>
      <c r="G95" s="25"/>
      <c r="H95" s="25"/>
    </row>
    <row r="96" spans="1:8" ht="12.75" customHeight="1" x14ac:dyDescent="0.2">
      <c r="A96" s="87">
        <v>20411</v>
      </c>
      <c r="B96" s="89" t="s">
        <v>44</v>
      </c>
      <c r="C96" s="216"/>
      <c r="D96" s="90"/>
      <c r="E96" s="91"/>
      <c r="F96" s="108" t="str">
        <f t="shared" si="1"/>
        <v>-</v>
      </c>
      <c r="G96" s="25"/>
      <c r="H96" s="25"/>
    </row>
    <row r="97" spans="1:8" ht="12.75" customHeight="1" x14ac:dyDescent="0.2">
      <c r="A97" s="87" t="str">
        <f>IF(FP="FP-24","-","20415")</f>
        <v>-</v>
      </c>
      <c r="B97" s="88" t="str">
        <f>IF(FP="FP-24","                      -","Select topping")</f>
        <v xml:space="preserve">                      -</v>
      </c>
      <c r="C97" s="216"/>
      <c r="D97" s="90"/>
      <c r="E97" s="91"/>
      <c r="F97" s="108" t="str">
        <f t="shared" si="1"/>
        <v>-</v>
      </c>
      <c r="G97" s="25"/>
      <c r="H97" s="25"/>
    </row>
    <row r="98" spans="1:8" ht="12.75" customHeight="1" x14ac:dyDescent="0.2">
      <c r="A98" s="87" t="str">
        <f>IF(FP="FP-24","-","20416")</f>
        <v>-</v>
      </c>
      <c r="B98" s="88" t="str">
        <f>IF(FP="FP-24","                      -","Select topping")</f>
        <v xml:space="preserve">                      -</v>
      </c>
      <c r="C98" s="216"/>
      <c r="D98" s="90"/>
      <c r="E98" s="91"/>
      <c r="F98" s="108" t="str">
        <f t="shared" si="1"/>
        <v>-</v>
      </c>
      <c r="G98" s="25"/>
      <c r="H98" s="25"/>
    </row>
    <row r="99" spans="1:8" ht="12.75" customHeight="1" x14ac:dyDescent="0.2">
      <c r="A99" s="87">
        <v>20420</v>
      </c>
      <c r="B99" s="89" t="s">
        <v>45</v>
      </c>
      <c r="C99" s="216"/>
      <c r="D99" s="90"/>
      <c r="E99" s="91"/>
      <c r="F99" s="108" t="str">
        <f t="shared" si="1"/>
        <v>-</v>
      </c>
      <c r="G99" s="25"/>
      <c r="H99" s="25"/>
    </row>
    <row r="100" spans="1:8" ht="12.75" customHeight="1" x14ac:dyDescent="0.2">
      <c r="A100" s="87">
        <v>20421</v>
      </c>
      <c r="B100" s="89" t="s">
        <v>46</v>
      </c>
      <c r="C100" s="216"/>
      <c r="D100" s="90"/>
      <c r="E100" s="91"/>
      <c r="F100" s="108" t="str">
        <f t="shared" si="1"/>
        <v>-</v>
      </c>
      <c r="G100" s="25"/>
      <c r="H100" s="25"/>
    </row>
    <row r="101" spans="1:8" x14ac:dyDescent="0.2">
      <c r="A101" s="62" t="s">
        <v>47</v>
      </c>
      <c r="B101" s="63"/>
      <c r="C101" s="58" t="s">
        <v>37</v>
      </c>
      <c r="D101" s="59" t="str">
        <f>IF(Units="US CUSTOMARY"," Tons"," tonnes")</f>
        <v xml:space="preserve"> Tons</v>
      </c>
      <c r="E101" s="60"/>
      <c r="F101" s="61" t="s">
        <v>38</v>
      </c>
      <c r="G101" s="25"/>
      <c r="H101" s="25"/>
    </row>
    <row r="102" spans="1:8" x14ac:dyDescent="0.2">
      <c r="A102" s="87">
        <v>30101</v>
      </c>
      <c r="B102" s="89" t="s">
        <v>48</v>
      </c>
      <c r="C102" s="217">
        <f>IF(Units="US Customary", 0.7, 0.77)</f>
        <v>0.7</v>
      </c>
      <c r="D102" s="90"/>
      <c r="E102" s="91"/>
      <c r="F102" s="108" t="str">
        <f>IF(ISNUMBER(D102),+C$102*D102, "-")</f>
        <v>-</v>
      </c>
      <c r="G102" s="25"/>
      <c r="H102" s="25"/>
    </row>
    <row r="103" spans="1:8" x14ac:dyDescent="0.2">
      <c r="A103" s="87">
        <v>30102</v>
      </c>
      <c r="B103" s="89" t="s">
        <v>49</v>
      </c>
      <c r="C103" s="218"/>
      <c r="D103" s="90"/>
      <c r="E103" s="91"/>
      <c r="F103" s="108" t="str">
        <f t="shared" ref="F103:F110" si="2">IF(ISNUMBER(D103),+C$102*D103, "-")</f>
        <v>-</v>
      </c>
      <c r="G103" s="25"/>
      <c r="H103" s="25"/>
    </row>
    <row r="104" spans="1:8" x14ac:dyDescent="0.2">
      <c r="A104" s="87">
        <v>30103</v>
      </c>
      <c r="B104" s="89" t="s">
        <v>49</v>
      </c>
      <c r="C104" s="218"/>
      <c r="D104" s="90"/>
      <c r="E104" s="91"/>
      <c r="F104" s="108" t="str">
        <f t="shared" si="2"/>
        <v>-</v>
      </c>
      <c r="G104" s="25"/>
      <c r="H104" s="25"/>
    </row>
    <row r="105" spans="1:8" x14ac:dyDescent="0.2">
      <c r="A105" s="135">
        <v>30105</v>
      </c>
      <c r="B105" s="136" t="s">
        <v>50</v>
      </c>
      <c r="C105" s="218"/>
      <c r="D105" s="90"/>
      <c r="E105" s="91"/>
      <c r="F105" s="108" t="str">
        <f t="shared" si="2"/>
        <v>-</v>
      </c>
      <c r="G105" s="25"/>
      <c r="H105" s="25"/>
    </row>
    <row r="106" spans="1:8" x14ac:dyDescent="0.2">
      <c r="A106" s="135">
        <v>30106</v>
      </c>
      <c r="B106" s="136" t="s">
        <v>51</v>
      </c>
      <c r="C106" s="218"/>
      <c r="D106" s="90"/>
      <c r="E106" s="91"/>
      <c r="F106" s="108" t="str">
        <f t="shared" si="2"/>
        <v>-</v>
      </c>
      <c r="G106" s="25"/>
      <c r="H106" s="25"/>
    </row>
    <row r="107" spans="1:8" x14ac:dyDescent="0.2">
      <c r="A107" s="135">
        <v>30107</v>
      </c>
      <c r="B107" s="136" t="s">
        <v>51</v>
      </c>
      <c r="C107" s="218"/>
      <c r="D107" s="90"/>
      <c r="E107" s="91"/>
      <c r="F107" s="108" t="str">
        <f t="shared" si="2"/>
        <v>-</v>
      </c>
      <c r="G107" s="25"/>
      <c r="H107" s="25"/>
    </row>
    <row r="108" spans="1:8" x14ac:dyDescent="0.2">
      <c r="A108" s="135">
        <v>30110</v>
      </c>
      <c r="B108" s="136" t="s">
        <v>52</v>
      </c>
      <c r="C108" s="218"/>
      <c r="D108" s="90"/>
      <c r="E108" s="91"/>
      <c r="F108" s="108" t="str">
        <f t="shared" si="2"/>
        <v>-</v>
      </c>
      <c r="G108" s="25"/>
      <c r="H108" s="25"/>
    </row>
    <row r="109" spans="1:8" x14ac:dyDescent="0.2">
      <c r="A109" s="135">
        <v>30111</v>
      </c>
      <c r="B109" s="136" t="s">
        <v>53</v>
      </c>
      <c r="C109" s="218"/>
      <c r="D109" s="90"/>
      <c r="E109" s="91"/>
      <c r="F109" s="108" t="str">
        <f t="shared" si="2"/>
        <v>-</v>
      </c>
      <c r="G109" s="25"/>
      <c r="H109" s="25"/>
    </row>
    <row r="110" spans="1:8" x14ac:dyDescent="0.2">
      <c r="A110" s="135">
        <v>30112</v>
      </c>
      <c r="B110" s="136" t="s">
        <v>53</v>
      </c>
      <c r="C110" s="218"/>
      <c r="D110" s="90"/>
      <c r="E110" s="91"/>
      <c r="F110" s="108" t="str">
        <f t="shared" si="2"/>
        <v>-</v>
      </c>
      <c r="G110" s="25"/>
      <c r="H110" s="25"/>
    </row>
    <row r="111" spans="1:8" x14ac:dyDescent="0.2">
      <c r="A111" s="62" t="s">
        <v>54</v>
      </c>
      <c r="B111" s="63"/>
      <c r="C111" s="58" t="s">
        <v>37</v>
      </c>
      <c r="D111" s="59" t="str">
        <f>IF(Units="US CUSTOMARY"," SQYD","m2")</f>
        <v xml:space="preserve"> SQYD</v>
      </c>
      <c r="E111" s="64"/>
      <c r="F111" s="61" t="s">
        <v>38</v>
      </c>
      <c r="G111" s="25"/>
      <c r="H111" s="25"/>
    </row>
    <row r="112" spans="1:8" x14ac:dyDescent="0.2">
      <c r="A112" s="87" t="s">
        <v>55</v>
      </c>
      <c r="B112" s="88" t="s">
        <v>56</v>
      </c>
      <c r="C112" s="218">
        <f>IF(Units="US Customary", 0.3, 0.36)</f>
        <v>0.3</v>
      </c>
      <c r="D112" s="90"/>
      <c r="E112" s="91"/>
      <c r="F112" s="108" t="str">
        <f>IF(ISNUMBER(D112),+C$112*D112, "-")</f>
        <v>-</v>
      </c>
      <c r="G112" s="25"/>
      <c r="H112" s="25"/>
    </row>
    <row r="113" spans="1:8" x14ac:dyDescent="0.2">
      <c r="A113" s="87" t="s">
        <v>57</v>
      </c>
      <c r="B113" s="88" t="s">
        <v>58</v>
      </c>
      <c r="C113" s="218"/>
      <c r="D113" s="90"/>
      <c r="E113" s="91"/>
      <c r="F113" s="108" t="str">
        <f>IF(ISNUMBER(D113),+C$112*D113, "-")</f>
        <v>-</v>
      </c>
      <c r="G113" s="25"/>
      <c r="H113" s="25"/>
    </row>
    <row r="114" spans="1:8" x14ac:dyDescent="0.2">
      <c r="A114" s="62" t="s">
        <v>59</v>
      </c>
      <c r="B114" s="65"/>
      <c r="C114" s="58" t="s">
        <v>37</v>
      </c>
      <c r="D114" s="59" t="str">
        <f>IF(Units="US CUSTOMARY"," SQYD","m2")</f>
        <v xml:space="preserve"> SQYD</v>
      </c>
      <c r="E114" s="64"/>
      <c r="F114" s="61" t="s">
        <v>38</v>
      </c>
      <c r="G114" s="25"/>
      <c r="H114" s="25"/>
    </row>
    <row r="115" spans="1:8" ht="12.75" customHeight="1" x14ac:dyDescent="0.2">
      <c r="A115" s="87" t="s">
        <v>60</v>
      </c>
      <c r="B115" s="92" t="s">
        <v>61</v>
      </c>
      <c r="C115" s="217">
        <f>IF(Units="US Customary", 0.3, 0.36)</f>
        <v>0.3</v>
      </c>
      <c r="D115" s="90"/>
      <c r="E115" s="91"/>
      <c r="F115" s="108" t="str">
        <f>IF(ISNUMBER(D115),+C$115*D115, "-")</f>
        <v>-</v>
      </c>
      <c r="G115" s="73"/>
      <c r="H115" s="25"/>
    </row>
    <row r="116" spans="1:8" ht="12.75" customHeight="1" x14ac:dyDescent="0.2">
      <c r="A116" s="87" t="s">
        <v>62</v>
      </c>
      <c r="B116" s="92" t="s">
        <v>63</v>
      </c>
      <c r="C116" s="218"/>
      <c r="D116" s="90"/>
      <c r="E116" s="91"/>
      <c r="F116" s="108" t="str">
        <f t="shared" ref="F116:F118" si="3">IF(ISNUMBER(D116),+C$115*D116, "-")</f>
        <v>-</v>
      </c>
      <c r="G116" s="73"/>
      <c r="H116" s="25"/>
    </row>
    <row r="117" spans="1:8" ht="12.75" customHeight="1" x14ac:dyDescent="0.2">
      <c r="A117" s="87" t="s">
        <v>64</v>
      </c>
      <c r="B117" s="92" t="s">
        <v>65</v>
      </c>
      <c r="C117" s="218"/>
      <c r="D117" s="90"/>
      <c r="E117" s="91"/>
      <c r="F117" s="108" t="str">
        <f t="shared" si="3"/>
        <v>-</v>
      </c>
      <c r="G117" s="73"/>
      <c r="H117" s="25"/>
    </row>
    <row r="118" spans="1:8" ht="12.75" customHeight="1" x14ac:dyDescent="0.2">
      <c r="A118" s="93" t="s">
        <v>66</v>
      </c>
      <c r="B118" s="94" t="s">
        <v>67</v>
      </c>
      <c r="C118" s="218"/>
      <c r="D118" s="95"/>
      <c r="E118" s="96"/>
      <c r="F118" s="108" t="str">
        <f t="shared" si="3"/>
        <v>-</v>
      </c>
      <c r="G118" s="73"/>
      <c r="H118" s="25"/>
    </row>
    <row r="119" spans="1:8" x14ac:dyDescent="0.2">
      <c r="A119" s="67" t="str">
        <f>IF(FP="FP-24","Section 308 - Emulsified Asphalt-Treated Base Course","Section 309 - Emulsified Asphalt-Treated Base Course")</f>
        <v>Section 308 - Emulsified Asphalt-Treated Base Course</v>
      </c>
      <c r="B119" s="63"/>
      <c r="C119" s="58" t="s">
        <v>37</v>
      </c>
      <c r="D119" s="59" t="str">
        <f>IF(Units="US CUSTOMARY"," Tons"," tonnes")</f>
        <v xml:space="preserve"> Tons</v>
      </c>
      <c r="E119" s="64"/>
      <c r="F119" s="66" t="s">
        <v>38</v>
      </c>
      <c r="G119" s="25"/>
      <c r="H119" s="25"/>
    </row>
    <row r="120" spans="1:8" x14ac:dyDescent="0.2">
      <c r="A120" s="97" t="str">
        <f>IF(FP="FP-24","30801","30901")</f>
        <v>30801</v>
      </c>
      <c r="B120" s="89" t="str">
        <f>IF(FP="FP-24","Emulsified asphalt-treated aggregate base","Emulsified asphalt-treated aggregate base")</f>
        <v>Emulsified asphalt-treated aggregate base</v>
      </c>
      <c r="C120" s="217">
        <f>IF(Units="US Customary", 0.7, 0.77)</f>
        <v>0.7</v>
      </c>
      <c r="D120" s="90"/>
      <c r="E120" s="91"/>
      <c r="F120" s="108" t="str">
        <f>IF(ISNUMBER(D120),+C$120*D120, "-")</f>
        <v>-</v>
      </c>
      <c r="G120" s="25"/>
      <c r="H120" s="25"/>
    </row>
    <row r="121" spans="1:8" ht="12.75" customHeight="1" x14ac:dyDescent="0.2">
      <c r="A121" s="97" t="str">
        <f>IF(FP="FP-24","30802","30902")</f>
        <v>30802</v>
      </c>
      <c r="B121" s="89" t="str">
        <f>IF(FP="FP-24","Emulsified asphalt-treated aggregate base*","Emulsified asphalt-treated aggregate base*")</f>
        <v>Emulsified asphalt-treated aggregate base*</v>
      </c>
      <c r="C121" s="218"/>
      <c r="D121" s="90"/>
      <c r="E121" s="91"/>
      <c r="F121" s="108" t="str">
        <f t="shared" ref="F121:F122" si="4">IF(ISNUMBER(D121),+C$120*D121, "-")</f>
        <v>-</v>
      </c>
      <c r="G121" s="25"/>
      <c r="H121" s="25"/>
    </row>
    <row r="122" spans="1:8" ht="12.75" customHeight="1" x14ac:dyDescent="0.2">
      <c r="A122" s="97" t="str">
        <f>IF(FP="FP-24","30803","30903")</f>
        <v>30803</v>
      </c>
      <c r="B122" s="89" t="str">
        <f>IF(FP="FP-24","Emulsified asphalt-treated aggregate base*","Emulsified asphalt-treated aggregate base*")</f>
        <v>Emulsified asphalt-treated aggregate base*</v>
      </c>
      <c r="C122" s="218"/>
      <c r="D122" s="90"/>
      <c r="E122" s="91"/>
      <c r="F122" s="108" t="str">
        <f t="shared" si="4"/>
        <v>-</v>
      </c>
      <c r="G122" s="25"/>
      <c r="H122" s="25"/>
    </row>
    <row r="123" spans="1:8" x14ac:dyDescent="0.2">
      <c r="A123" s="67" t="s">
        <v>68</v>
      </c>
      <c r="B123" s="68"/>
      <c r="C123" s="58" t="s">
        <v>37</v>
      </c>
      <c r="D123" s="77" t="str">
        <f>IF(Units="US CUSTOMARY"," SQYD","m2")</f>
        <v xml:space="preserve"> SQYD</v>
      </c>
      <c r="E123" s="64"/>
      <c r="F123" s="66" t="s">
        <v>38</v>
      </c>
      <c r="G123" s="78"/>
      <c r="H123" s="25"/>
    </row>
    <row r="124" spans="1:8" ht="12.75" customHeight="1" x14ac:dyDescent="0.2">
      <c r="A124" s="97" t="s">
        <v>69</v>
      </c>
      <c r="B124" s="89" t="s">
        <v>70</v>
      </c>
      <c r="C124" s="218">
        <f>IF(Units="US Customary", 0.15, 0.18)</f>
        <v>0.15</v>
      </c>
      <c r="D124" s="90"/>
      <c r="E124" s="91"/>
      <c r="F124" s="108" t="str">
        <f>IF(ISNUMBER(D124),+C$124*D124, "-")</f>
        <v>-</v>
      </c>
      <c r="G124" s="25"/>
      <c r="H124" s="25"/>
    </row>
    <row r="125" spans="1:8" ht="12.75" customHeight="1" x14ac:dyDescent="0.2">
      <c r="A125" s="100" t="s">
        <v>71</v>
      </c>
      <c r="B125" s="192" t="s">
        <v>72</v>
      </c>
      <c r="C125" s="218"/>
      <c r="D125" s="95"/>
      <c r="E125" s="96"/>
      <c r="F125" s="108" t="str">
        <f>IF(ISNUMBER(D125),+C$124*D125, "-")</f>
        <v>-</v>
      </c>
      <c r="G125" s="25"/>
      <c r="H125" s="25"/>
    </row>
    <row r="126" spans="1:8" x14ac:dyDescent="0.2">
      <c r="A126" s="67" t="s">
        <v>73</v>
      </c>
      <c r="B126" s="68"/>
      <c r="C126" s="58" t="s">
        <v>37</v>
      </c>
      <c r="D126" s="77" t="str">
        <f>IF(Units="US CUSTOMARY"," Tons"," tonnes")</f>
        <v xml:space="preserve"> Tons</v>
      </c>
      <c r="E126" s="64"/>
      <c r="F126" s="66" t="s">
        <v>38</v>
      </c>
      <c r="G126" s="25"/>
      <c r="H126" s="25"/>
    </row>
    <row r="127" spans="1:8" ht="12.75" customHeight="1" x14ac:dyDescent="0.2">
      <c r="A127" s="97" t="s">
        <v>74</v>
      </c>
      <c r="B127" s="89" t="s">
        <v>75</v>
      </c>
      <c r="C127" s="219">
        <f>IF(Units="US Customary", 0.7, 0.77)</f>
        <v>0.7</v>
      </c>
      <c r="D127" s="90"/>
      <c r="E127" s="91"/>
      <c r="F127" s="108" t="str">
        <f>IF(ISNUMBER(D127),+C$127*D127, "-")</f>
        <v>-</v>
      </c>
      <c r="G127" s="78"/>
      <c r="H127" s="25"/>
    </row>
    <row r="128" spans="1:8" ht="12.75" customHeight="1" x14ac:dyDescent="0.2">
      <c r="A128" s="100" t="s">
        <v>76</v>
      </c>
      <c r="B128" s="192" t="s">
        <v>75</v>
      </c>
      <c r="C128" s="219"/>
      <c r="D128" s="95"/>
      <c r="E128" s="96"/>
      <c r="F128" s="108" t="str">
        <f t="shared" ref="F128:F129" si="5">IF(ISNUMBER(D128),+C$127*D128, "-")</f>
        <v>-</v>
      </c>
      <c r="G128" s="25"/>
      <c r="H128" s="25"/>
    </row>
    <row r="129" spans="1:8" ht="12.75" customHeight="1" x14ac:dyDescent="0.2">
      <c r="A129" s="97" t="s">
        <v>77</v>
      </c>
      <c r="B129" s="89" t="s">
        <v>78</v>
      </c>
      <c r="C129" s="220"/>
      <c r="D129" s="90"/>
      <c r="E129" s="91"/>
      <c r="F129" s="108" t="str">
        <f t="shared" si="5"/>
        <v>-</v>
      </c>
      <c r="G129" s="25"/>
      <c r="H129" s="25"/>
    </row>
    <row r="130" spans="1:8" x14ac:dyDescent="0.2">
      <c r="A130" s="67" t="s">
        <v>79</v>
      </c>
      <c r="B130" s="68"/>
      <c r="C130" s="76" t="s">
        <v>37</v>
      </c>
      <c r="D130" s="77" t="str">
        <f>IF(Units="US CUSTOMARY"," Tons"," tonnes")</f>
        <v xml:space="preserve"> Tons</v>
      </c>
      <c r="E130" s="71"/>
      <c r="F130" s="75" t="s">
        <v>38</v>
      </c>
      <c r="G130" s="25"/>
      <c r="H130" s="25"/>
    </row>
    <row r="131" spans="1:8" ht="12.75" customHeight="1" x14ac:dyDescent="0.2">
      <c r="A131" s="97" t="s">
        <v>80</v>
      </c>
      <c r="B131" s="89" t="s">
        <v>81</v>
      </c>
      <c r="C131" s="219">
        <f>IF(Units="US Customary",2.4, 2.65)</f>
        <v>2.4</v>
      </c>
      <c r="D131" s="98"/>
      <c r="E131" s="99"/>
      <c r="F131" s="137" t="str">
        <f>IF(ISNUMBER(D131),+C$131*D131, "-")</f>
        <v>-</v>
      </c>
      <c r="G131" s="78"/>
      <c r="H131" s="25"/>
    </row>
    <row r="132" spans="1:8" ht="22.5" x14ac:dyDescent="0.2">
      <c r="A132" s="100" t="s">
        <v>82</v>
      </c>
      <c r="B132" s="101" t="s">
        <v>83</v>
      </c>
      <c r="C132" s="219"/>
      <c r="D132" s="102"/>
      <c r="E132" s="103"/>
      <c r="F132" s="137" t="str">
        <f>IF(ISNUMBER(D132),+C$131*D132, "-")</f>
        <v>-</v>
      </c>
      <c r="G132" s="25"/>
      <c r="H132" s="25"/>
    </row>
    <row r="133" spans="1:8" ht="28.5" customHeight="1" x14ac:dyDescent="0.25">
      <c r="A133" s="213" t="s">
        <v>84</v>
      </c>
      <c r="B133" s="214"/>
      <c r="C133" s="82" t="s">
        <v>37</v>
      </c>
      <c r="D133" s="83" t="str">
        <f>IF(Units="US CUSTOMARY"," Tons"," tonnes")</f>
        <v xml:space="preserve"> Tons</v>
      </c>
      <c r="E133" s="84"/>
      <c r="F133" s="85" t="s">
        <v>38</v>
      </c>
      <c r="G133" s="25"/>
      <c r="H133" s="25"/>
    </row>
    <row r="134" spans="1:8" ht="12.75" customHeight="1" x14ac:dyDescent="0.2">
      <c r="A134" s="97" t="s">
        <v>85</v>
      </c>
      <c r="B134" s="89" t="s">
        <v>86</v>
      </c>
      <c r="C134" s="219">
        <f>IF(Units="US Customary",2.4, 2.65)</f>
        <v>2.4</v>
      </c>
      <c r="D134" s="98"/>
      <c r="E134" s="99"/>
      <c r="F134" s="137" t="str">
        <f>IF(ISNUMBER(D134),+C$134*D134, "-")</f>
        <v>-</v>
      </c>
      <c r="G134" s="78"/>
      <c r="H134" s="25"/>
    </row>
    <row r="135" spans="1:8" ht="23.25" customHeight="1" x14ac:dyDescent="0.2">
      <c r="A135" s="100" t="s">
        <v>87</v>
      </c>
      <c r="B135" s="101" t="s">
        <v>88</v>
      </c>
      <c r="C135" s="219"/>
      <c r="D135" s="102"/>
      <c r="E135" s="103"/>
      <c r="F135" s="137" t="str">
        <f>IF(ISNUMBER(D135),+C$134*D135, "-")</f>
        <v>-</v>
      </c>
      <c r="G135" s="25"/>
      <c r="H135" s="25"/>
    </row>
    <row r="136" spans="1:8" ht="15" x14ac:dyDescent="0.2">
      <c r="A136" s="221" t="str">
        <f>IF(FP="FP-24","Section 405 - Open-Graded Asphalt Friction","Section 405 - Open-Graded Asphalt Friction")</f>
        <v>Section 405 - Open-Graded Asphalt Friction</v>
      </c>
      <c r="B136" s="222"/>
      <c r="C136" s="76" t="s">
        <v>37</v>
      </c>
      <c r="D136" s="77" t="str">
        <f>IF(Units="US CUSTOMARY"," Tons"," tonnes")</f>
        <v xml:space="preserve"> Tons</v>
      </c>
      <c r="E136" s="71"/>
      <c r="F136" s="75" t="s">
        <v>38</v>
      </c>
      <c r="G136" s="48"/>
      <c r="H136" s="48"/>
    </row>
    <row r="137" spans="1:8" ht="15" x14ac:dyDescent="0.2">
      <c r="A137" s="97" t="str">
        <f>IF(FP="FP-03","40501","40501")</f>
        <v>40501</v>
      </c>
      <c r="B137" s="70" t="str">
        <f>IF(FP="FP-03","Continuous cold recylced aphalt base","Open-graded asphalt friction course")</f>
        <v>Open-graded asphalt friction course</v>
      </c>
      <c r="C137" s="142">
        <f>IF(Units="US Customary",2.4, 2.65)</f>
        <v>2.4</v>
      </c>
      <c r="D137" s="98"/>
      <c r="E137" s="99"/>
      <c r="F137" s="137" t="str">
        <f>IF(ISNUMBER(D137),+C$137*D137, "-")</f>
        <v>-</v>
      </c>
      <c r="G137" s="80"/>
      <c r="H137" s="17"/>
    </row>
    <row r="138" spans="1:8" ht="15" x14ac:dyDescent="0.25">
      <c r="A138" s="189" t="s">
        <v>104</v>
      </c>
      <c r="B138" s="104"/>
      <c r="C138" s="138"/>
      <c r="D138" s="147"/>
      <c r="E138" s="105"/>
      <c r="F138" s="139"/>
      <c r="G138" s="44"/>
      <c r="H138" s="44"/>
    </row>
    <row r="139" spans="1:8" ht="15" x14ac:dyDescent="0.25">
      <c r="A139" s="189"/>
      <c r="B139" s="81"/>
      <c r="C139" s="140"/>
      <c r="D139" s="148"/>
      <c r="E139" s="106"/>
      <c r="F139" s="141"/>
      <c r="G139" s="44"/>
      <c r="H139" s="44"/>
    </row>
    <row r="140" spans="1:8" ht="15" x14ac:dyDescent="0.25">
      <c r="A140" s="189"/>
      <c r="B140" s="81"/>
      <c r="C140" s="140"/>
      <c r="D140" s="148"/>
      <c r="E140" s="106"/>
      <c r="F140" s="141"/>
      <c r="G140" s="44"/>
      <c r="H140" s="44"/>
    </row>
    <row r="141" spans="1:8" ht="15" x14ac:dyDescent="0.25">
      <c r="A141" s="189"/>
      <c r="B141" s="81"/>
      <c r="C141" s="140"/>
      <c r="D141" s="148"/>
      <c r="E141" s="106"/>
      <c r="F141" s="141"/>
      <c r="G141" s="44"/>
      <c r="H141" s="44"/>
    </row>
    <row r="142" spans="1:8" ht="15" x14ac:dyDescent="0.25">
      <c r="A142" s="189"/>
      <c r="B142" s="81"/>
      <c r="C142" s="140"/>
      <c r="D142" s="148"/>
      <c r="E142" s="106"/>
      <c r="F142" s="141"/>
      <c r="G142" s="44"/>
      <c r="H142" s="44"/>
    </row>
    <row r="143" spans="1:8" ht="15" x14ac:dyDescent="0.25">
      <c r="A143" s="189"/>
      <c r="B143" s="81"/>
      <c r="C143" s="140"/>
      <c r="D143" s="148"/>
      <c r="E143" s="106"/>
      <c r="F143" s="141"/>
      <c r="G143" s="44"/>
      <c r="H143" s="44"/>
    </row>
    <row r="144" spans="1:8" ht="15" x14ac:dyDescent="0.25">
      <c r="A144" s="189"/>
      <c r="B144" s="81"/>
      <c r="C144" s="140"/>
      <c r="D144" s="148"/>
      <c r="E144" s="106"/>
      <c r="F144" s="141"/>
      <c r="G144" s="44"/>
      <c r="H144" s="44"/>
    </row>
    <row r="145" spans="1:8" ht="15" x14ac:dyDescent="0.25">
      <c r="A145" s="189"/>
      <c r="B145" s="81"/>
      <c r="C145" s="140"/>
      <c r="D145" s="148"/>
      <c r="E145" s="106"/>
      <c r="F145" s="141"/>
      <c r="G145" s="44"/>
      <c r="H145" s="44"/>
    </row>
    <row r="146" spans="1:8" ht="15" x14ac:dyDescent="0.25">
      <c r="A146" s="189"/>
      <c r="B146" s="81"/>
      <c r="C146" s="140"/>
      <c r="D146" s="148"/>
      <c r="E146" s="106"/>
      <c r="F146" s="141"/>
      <c r="G146" s="44"/>
      <c r="H146" s="44"/>
    </row>
    <row r="147" spans="1:8" ht="15" x14ac:dyDescent="0.25">
      <c r="A147" s="189"/>
      <c r="B147" s="81"/>
      <c r="C147" s="140"/>
      <c r="D147" s="148"/>
      <c r="E147" s="106"/>
      <c r="F147" s="141"/>
      <c r="G147" s="44"/>
      <c r="H147" s="44"/>
    </row>
    <row r="148" spans="1:8" ht="15" x14ac:dyDescent="0.25">
      <c r="A148" s="189"/>
      <c r="B148" s="81"/>
      <c r="C148" s="140"/>
      <c r="D148" s="148"/>
      <c r="E148" s="106"/>
      <c r="F148" s="141"/>
      <c r="G148" s="44"/>
      <c r="H148" s="44"/>
    </row>
    <row r="149" spans="1:8" ht="15" x14ac:dyDescent="0.25">
      <c r="A149" s="189"/>
      <c r="B149" s="81"/>
      <c r="C149" s="140"/>
      <c r="D149" s="148"/>
      <c r="E149" s="106"/>
      <c r="F149" s="141"/>
      <c r="G149" s="44"/>
      <c r="H149" s="44"/>
    </row>
    <row r="150" spans="1:8" ht="2.1" customHeight="1" x14ac:dyDescent="0.25">
      <c r="A150" s="189"/>
      <c r="B150" s="81"/>
      <c r="C150" s="140"/>
      <c r="D150" s="148"/>
      <c r="E150" s="106"/>
      <c r="F150" s="141"/>
      <c r="G150" s="44"/>
      <c r="H150" s="44"/>
    </row>
    <row r="151" spans="1:8" ht="2.1" customHeight="1" x14ac:dyDescent="0.25">
      <c r="A151" s="189"/>
      <c r="B151" s="81"/>
      <c r="C151" s="140"/>
      <c r="D151" s="148"/>
      <c r="E151" s="106"/>
      <c r="F151" s="141"/>
      <c r="G151" s="44"/>
      <c r="H151" s="44"/>
    </row>
    <row r="152" spans="1:8" ht="18" x14ac:dyDescent="0.25">
      <c r="A152" s="208" t="s">
        <v>34</v>
      </c>
      <c r="B152" s="208"/>
      <c r="C152" s="208"/>
      <c r="D152" s="208"/>
      <c r="E152" s="208"/>
      <c r="F152" s="208"/>
      <c r="G152" s="208"/>
      <c r="H152" s="208"/>
    </row>
    <row r="153" spans="1:8" x14ac:dyDescent="0.2">
      <c r="A153" s="7"/>
      <c r="B153" s="7"/>
      <c r="C153" s="11" t="s">
        <v>1</v>
      </c>
      <c r="D153" s="12" t="str">
        <f>+Sheet1!D2</f>
        <v>FP-24</v>
      </c>
      <c r="E153" s="8"/>
      <c r="F153" s="9"/>
      <c r="G153" s="9"/>
      <c r="H153" s="9"/>
    </row>
    <row r="154" spans="1:8" x14ac:dyDescent="0.2">
      <c r="A154" s="7"/>
      <c r="B154" s="7"/>
      <c r="C154" s="7"/>
      <c r="D154" s="10"/>
      <c r="E154" s="8"/>
      <c r="F154" s="9"/>
      <c r="G154" s="9"/>
      <c r="H154" s="9"/>
    </row>
    <row r="155" spans="1:8" x14ac:dyDescent="0.2">
      <c r="A155" s="11" t="s">
        <v>3</v>
      </c>
      <c r="B155" s="206" t="str">
        <f>+B4</f>
        <v>AZ Heidi Test(1)</v>
      </c>
      <c r="C155" s="206"/>
      <c r="D155" s="12"/>
      <c r="E155" s="12"/>
      <c r="F155" s="13"/>
      <c r="G155" s="14" t="s">
        <v>5</v>
      </c>
      <c r="H155" s="15">
        <f ca="1" xml:space="preserve"> TODAY()</f>
        <v>45532</v>
      </c>
    </row>
    <row r="156" spans="1:8" ht="5.25" customHeight="1" x14ac:dyDescent="0.2">
      <c r="A156" s="11"/>
      <c r="B156" s="206"/>
      <c r="C156" s="206"/>
      <c r="D156" s="12"/>
      <c r="E156" s="12"/>
      <c r="F156" s="13"/>
      <c r="G156" s="14"/>
      <c r="H156" s="15"/>
    </row>
    <row r="157" spans="1:8" x14ac:dyDescent="0.2">
      <c r="A157" s="11" t="s">
        <v>6</v>
      </c>
      <c r="B157" s="212" t="str">
        <f>+B6</f>
        <v>Heidi National Park</v>
      </c>
      <c r="C157" s="212"/>
      <c r="D157" s="212"/>
      <c r="E157" s="212"/>
      <c r="F157" s="212"/>
      <c r="G157" s="14" t="str">
        <f>+G6</f>
        <v xml:space="preserve">Schedule Type: </v>
      </c>
      <c r="H157" s="16" t="str">
        <f>+H6</f>
        <v>Option</v>
      </c>
    </row>
    <row r="158" spans="1:8" x14ac:dyDescent="0.2">
      <c r="A158" s="11"/>
      <c r="B158" s="206"/>
      <c r="C158" s="206"/>
      <c r="D158" s="206"/>
      <c r="E158" s="206"/>
      <c r="F158" s="206"/>
      <c r="G158" s="14" t="str">
        <f>+G8</f>
        <v>Schedule Letter:</v>
      </c>
      <c r="H158" s="16" t="str">
        <f>+H8</f>
        <v>X</v>
      </c>
    </row>
    <row r="159" spans="1:8" x14ac:dyDescent="0.2">
      <c r="A159" s="7"/>
      <c r="B159" s="7"/>
      <c r="C159" s="7"/>
      <c r="D159" s="8"/>
      <c r="E159" s="8"/>
      <c r="F159" s="9"/>
      <c r="G159" s="14" t="s">
        <v>12</v>
      </c>
      <c r="H159" s="13" t="str">
        <f>+Units</f>
        <v>US CUSTOMARY</v>
      </c>
    </row>
    <row r="160" spans="1:8" ht="6.75" customHeight="1" thickBot="1" x14ac:dyDescent="0.25">
      <c r="A160" s="7"/>
      <c r="B160" s="7"/>
      <c r="C160" s="7"/>
      <c r="D160" s="8"/>
      <c r="E160" s="8"/>
      <c r="F160" s="9"/>
      <c r="G160" s="14"/>
      <c r="H160" s="13"/>
    </row>
    <row r="161" spans="1:8" ht="19.5" customHeight="1" thickBot="1" x14ac:dyDescent="0.25">
      <c r="A161" s="129" t="s">
        <v>90</v>
      </c>
      <c r="B161" s="130"/>
      <c r="C161" s="130"/>
      <c r="D161" s="130"/>
      <c r="E161" s="130"/>
      <c r="F161" s="130"/>
      <c r="G161" s="130"/>
      <c r="H161" s="131"/>
    </row>
    <row r="162" spans="1:8" ht="5.25" customHeight="1" x14ac:dyDescent="0.2">
      <c r="A162" s="17"/>
      <c r="B162" s="43"/>
      <c r="C162" s="43"/>
      <c r="D162" s="44"/>
      <c r="E162" s="45"/>
      <c r="F162" s="44"/>
      <c r="G162" s="44"/>
      <c r="H162" s="44"/>
    </row>
    <row r="163" spans="1:8" ht="12.75" customHeight="1" x14ac:dyDescent="0.2">
      <c r="A163" s="221" t="str">
        <f>IF(FP="FP-24","Not applicable","Not applicable")</f>
        <v>Not applicable</v>
      </c>
      <c r="B163" s="225"/>
      <c r="C163" s="76" t="s">
        <v>37</v>
      </c>
      <c r="D163" s="77"/>
      <c r="E163" s="71"/>
      <c r="F163" s="75" t="s">
        <v>38</v>
      </c>
      <c r="G163" s="44"/>
      <c r="H163" s="44"/>
    </row>
    <row r="164" spans="1:8" ht="12.75" customHeight="1" x14ac:dyDescent="0.2">
      <c r="A164" s="69"/>
      <c r="B164" s="70"/>
      <c r="C164" s="142"/>
      <c r="D164" s="74"/>
      <c r="E164" s="72"/>
      <c r="F164" s="143" t="str">
        <f>IF(ISNUMBER(D164),+C$164*D164, "-")</f>
        <v>-</v>
      </c>
      <c r="G164" s="79"/>
      <c r="H164" s="44"/>
    </row>
    <row r="165" spans="1:8" ht="12.75" customHeight="1" x14ac:dyDescent="0.2">
      <c r="A165" s="221" t="str">
        <f>IF(FP="FP-24","Not applicable","Not applicable")</f>
        <v>Not applicable</v>
      </c>
      <c r="B165" s="226"/>
      <c r="C165" s="82" t="s">
        <v>37</v>
      </c>
      <c r="D165" s="83"/>
      <c r="E165" s="84"/>
      <c r="F165" s="85" t="s">
        <v>38</v>
      </c>
      <c r="G165" s="79"/>
      <c r="H165" s="44"/>
    </row>
    <row r="166" spans="1:8" ht="12.75" customHeight="1" x14ac:dyDescent="0.2">
      <c r="A166" s="69"/>
      <c r="B166" s="70"/>
      <c r="C166" s="142"/>
      <c r="D166" s="74"/>
      <c r="E166" s="72"/>
      <c r="F166" s="143" t="str">
        <f>IF(ISNUMBER(D166),+C$166*D166, "-")</f>
        <v>-</v>
      </c>
      <c r="G166" s="79"/>
      <c r="H166" s="48"/>
    </row>
    <row r="167" spans="1:8" ht="12.75" customHeight="1" x14ac:dyDescent="0.2">
      <c r="A167" s="67" t="str">
        <f>IF(FP="FP-24","Not applicable","Not applicable")</f>
        <v>Not applicable</v>
      </c>
      <c r="B167" s="68"/>
      <c r="C167" s="76" t="s">
        <v>37</v>
      </c>
      <c r="D167" s="77"/>
      <c r="E167" s="71"/>
      <c r="F167" s="75" t="s">
        <v>38</v>
      </c>
      <c r="G167" s="49"/>
      <c r="H167" s="50"/>
    </row>
    <row r="168" spans="1:8" x14ac:dyDescent="0.2">
      <c r="A168" s="97"/>
      <c r="B168" s="89"/>
      <c r="C168" s="219"/>
      <c r="D168" s="98"/>
      <c r="E168" s="99"/>
      <c r="F168" s="137" t="str">
        <f>IF(ISNUMBER(D168),+C$168*D168, "-")</f>
        <v>-</v>
      </c>
      <c r="G168" s="49"/>
      <c r="H168" s="50"/>
    </row>
    <row r="169" spans="1:8" x14ac:dyDescent="0.2">
      <c r="A169" s="97"/>
      <c r="B169" s="89"/>
      <c r="C169" s="220"/>
      <c r="D169" s="98"/>
      <c r="E169" s="99"/>
      <c r="F169" s="137" t="str">
        <f>IF(ISNUMBER(D169),+C$168*D169, "-")</f>
        <v>-</v>
      </c>
      <c r="G169" s="49"/>
      <c r="H169" s="50"/>
    </row>
    <row r="170" spans="1:8" ht="15" x14ac:dyDescent="0.25">
      <c r="A170" s="69"/>
      <c r="B170" s="70"/>
      <c r="C170" s="140"/>
      <c r="D170" s="195"/>
      <c r="E170" s="193"/>
      <c r="F170" s="194"/>
      <c r="G170" s="49"/>
      <c r="H170" s="50"/>
    </row>
    <row r="171" spans="1:8" ht="15" x14ac:dyDescent="0.25">
      <c r="A171" s="69"/>
      <c r="B171" s="70"/>
      <c r="C171" s="140"/>
      <c r="D171" s="195"/>
      <c r="E171" s="193"/>
      <c r="F171" s="194"/>
      <c r="G171" s="49"/>
      <c r="H171" s="50"/>
    </row>
    <row r="172" spans="1:8" x14ac:dyDescent="0.2">
      <c r="A172" s="46"/>
      <c r="B172" s="46"/>
      <c r="C172" s="46"/>
      <c r="D172" s="47"/>
      <c r="E172" s="47"/>
      <c r="F172" s="48"/>
      <c r="G172" s="48"/>
      <c r="H172" s="48"/>
    </row>
    <row r="173" spans="1:8" x14ac:dyDescent="0.2">
      <c r="A173" s="46"/>
      <c r="B173" s="46"/>
      <c r="C173" s="46"/>
      <c r="D173" s="47"/>
      <c r="E173" s="47"/>
      <c r="F173" s="48"/>
      <c r="G173" s="48"/>
      <c r="H173" s="48"/>
    </row>
    <row r="174" spans="1:8" x14ac:dyDescent="0.2">
      <c r="A174" s="107"/>
      <c r="B174" s="114"/>
      <c r="C174" s="115"/>
      <c r="D174" s="116" t="s">
        <v>91</v>
      </c>
      <c r="E174" s="115"/>
      <c r="F174" s="117">
        <f>SUM(F90:F137)+SUM(F163:F169)</f>
        <v>0</v>
      </c>
      <c r="G174" s="17"/>
      <c r="H174" s="17"/>
    </row>
    <row r="175" spans="1:8" ht="4.5" customHeight="1" x14ac:dyDescent="0.2">
      <c r="A175" s="17"/>
      <c r="B175" s="118"/>
      <c r="C175" s="43"/>
      <c r="D175" s="45"/>
      <c r="E175" s="45"/>
      <c r="F175" s="119"/>
      <c r="G175" s="44"/>
      <c r="H175" s="44"/>
    </row>
    <row r="176" spans="1:8" x14ac:dyDescent="0.2">
      <c r="A176" s="17"/>
      <c r="B176" s="120"/>
      <c r="C176" s="46"/>
      <c r="D176" s="109" t="s">
        <v>92</v>
      </c>
      <c r="E176" s="51"/>
      <c r="F176" s="149"/>
      <c r="G176" s="44"/>
      <c r="H176" s="44"/>
    </row>
    <row r="177" spans="1:8" ht="7.5" customHeight="1" x14ac:dyDescent="0.2">
      <c r="A177" s="17"/>
      <c r="B177" s="121"/>
      <c r="C177" s="46"/>
      <c r="D177" s="113"/>
      <c r="E177" s="51"/>
      <c r="F177" s="119"/>
      <c r="G177" s="44"/>
      <c r="H177" s="44"/>
    </row>
    <row r="178" spans="1:8" x14ac:dyDescent="0.2">
      <c r="A178" s="17"/>
      <c r="B178" s="121"/>
      <c r="C178" s="46"/>
      <c r="D178" s="109" t="s">
        <v>93</v>
      </c>
      <c r="E178" s="51"/>
      <c r="F178" s="122" t="str">
        <f>IF(F176&lt;&gt;"",F176*1.6,"-")</f>
        <v>-</v>
      </c>
      <c r="G178" s="44"/>
      <c r="H178" s="44"/>
    </row>
    <row r="179" spans="1:8" ht="5.25" customHeight="1" x14ac:dyDescent="0.2">
      <c r="A179" s="17"/>
      <c r="B179" s="121"/>
      <c r="C179" s="46"/>
      <c r="D179" s="113"/>
      <c r="E179" s="51"/>
      <c r="F179" s="119"/>
      <c r="G179" s="44"/>
      <c r="H179" s="44"/>
    </row>
    <row r="180" spans="1:8" x14ac:dyDescent="0.2">
      <c r="A180" s="46"/>
      <c r="B180" s="121"/>
      <c r="C180" s="46"/>
      <c r="D180" s="110" t="s">
        <v>94</v>
      </c>
      <c r="E180" s="47"/>
      <c r="F180" s="123" t="str">
        <f>IF(F174&lt;&gt;0,(1.6-1.1)*(F174*F176),"-")</f>
        <v>-</v>
      </c>
      <c r="G180" s="48"/>
      <c r="H180" s="48"/>
    </row>
    <row r="181" spans="1:8" ht="7.5" customHeight="1" x14ac:dyDescent="0.2">
      <c r="A181" s="46"/>
      <c r="B181" s="121"/>
      <c r="C181" s="46"/>
      <c r="D181" s="47"/>
      <c r="E181" s="47"/>
      <c r="F181" s="119"/>
      <c r="G181" s="52"/>
      <c r="H181" s="53"/>
    </row>
    <row r="182" spans="1:8" x14ac:dyDescent="0.2">
      <c r="A182" s="46"/>
      <c r="B182" s="121"/>
      <c r="C182" s="46"/>
      <c r="D182" s="110" t="s">
        <v>95</v>
      </c>
      <c r="E182" s="47"/>
      <c r="F182" s="150"/>
      <c r="G182" s="52"/>
      <c r="H182" s="53"/>
    </row>
    <row r="183" spans="1:8" ht="6.75" customHeight="1" x14ac:dyDescent="0.2">
      <c r="A183" s="46"/>
      <c r="B183" s="121"/>
      <c r="C183" s="46"/>
      <c r="D183" s="47"/>
      <c r="E183" s="47"/>
      <c r="F183" s="119"/>
      <c r="G183" s="52"/>
      <c r="H183" s="53"/>
    </row>
    <row r="184" spans="1:8" ht="18.75" customHeight="1" x14ac:dyDescent="0.2">
      <c r="A184" s="46"/>
      <c r="B184" s="124"/>
      <c r="C184" s="125"/>
      <c r="D184" s="126" t="s">
        <v>96</v>
      </c>
      <c r="E184" s="127"/>
      <c r="F184" s="128" t="str">
        <f>IF(F182&lt;&gt;"",(F180*F182)/100,"$0.00")</f>
        <v>$0.00</v>
      </c>
      <c r="G184" s="52"/>
      <c r="H184" s="53"/>
    </row>
    <row r="185" spans="1:8" ht="18.75" customHeight="1" x14ac:dyDescent="0.2">
      <c r="A185" s="46"/>
      <c r="B185" s="46"/>
      <c r="C185" s="46"/>
      <c r="D185" s="111"/>
      <c r="E185" s="47"/>
      <c r="F185" s="112"/>
      <c r="G185" s="52"/>
      <c r="H185" s="53"/>
    </row>
    <row r="186" spans="1:8" ht="18.75" customHeight="1" x14ac:dyDescent="0.2">
      <c r="A186" s="46"/>
      <c r="B186" s="46"/>
      <c r="C186" s="46"/>
      <c r="D186" s="111"/>
      <c r="E186" s="47"/>
      <c r="F186" s="112"/>
      <c r="G186" s="52"/>
      <c r="H186" s="53"/>
    </row>
    <row r="187" spans="1:8" x14ac:dyDescent="0.2">
      <c r="A187" s="46"/>
      <c r="B187" s="46"/>
      <c r="C187" s="46"/>
      <c r="D187" s="47"/>
      <c r="E187" s="47"/>
      <c r="F187" s="48"/>
      <c r="G187" s="52"/>
      <c r="H187" s="53"/>
    </row>
    <row r="188" spans="1:8" ht="6.75" customHeight="1" thickBot="1" x14ac:dyDescent="0.25">
      <c r="A188" s="7"/>
      <c r="B188" s="7"/>
      <c r="C188" s="7"/>
      <c r="D188" s="8"/>
      <c r="E188" s="8"/>
      <c r="F188" s="9"/>
      <c r="G188" s="14"/>
      <c r="H188" s="13"/>
    </row>
    <row r="189" spans="1:8" ht="19.5" customHeight="1" thickBot="1" x14ac:dyDescent="0.25">
      <c r="A189" s="132" t="s">
        <v>97</v>
      </c>
      <c r="B189" s="133"/>
      <c r="C189" s="133"/>
      <c r="D189" s="133"/>
      <c r="E189" s="133"/>
      <c r="F189" s="133"/>
      <c r="G189" s="133"/>
      <c r="H189" s="134"/>
    </row>
    <row r="190" spans="1:8" ht="5.25" customHeight="1" x14ac:dyDescent="0.2">
      <c r="A190" s="17"/>
      <c r="B190" s="43"/>
      <c r="C190" s="43"/>
      <c r="D190" s="44"/>
      <c r="E190" s="45"/>
      <c r="F190" s="44"/>
      <c r="G190" s="44"/>
      <c r="H190" s="44"/>
    </row>
    <row r="191" spans="1:8" x14ac:dyDescent="0.2">
      <c r="A191" s="46"/>
      <c r="B191" s="114"/>
      <c r="C191" s="115"/>
      <c r="D191" s="116" t="s">
        <v>98</v>
      </c>
      <c r="E191" s="115"/>
      <c r="F191" s="151"/>
      <c r="G191" s="52"/>
      <c r="H191" s="53"/>
    </row>
    <row r="192" spans="1:8" x14ac:dyDescent="0.2">
      <c r="A192" s="46"/>
      <c r="B192" s="118"/>
      <c r="C192" s="43"/>
      <c r="D192" s="45"/>
      <c r="E192" s="45"/>
      <c r="F192" s="119"/>
      <c r="G192" s="52"/>
      <c r="H192" s="53"/>
    </row>
    <row r="193" spans="1:8" x14ac:dyDescent="0.2">
      <c r="A193" s="46"/>
      <c r="B193" s="120"/>
      <c r="C193" s="46"/>
      <c r="D193" s="109" t="s">
        <v>99</v>
      </c>
      <c r="E193" s="51"/>
      <c r="F193" s="149"/>
      <c r="G193" s="52"/>
      <c r="H193" s="53"/>
    </row>
    <row r="194" spans="1:8" x14ac:dyDescent="0.2">
      <c r="A194" s="46"/>
      <c r="B194" s="121"/>
      <c r="C194" s="46"/>
      <c r="D194" s="113"/>
      <c r="E194" s="51"/>
      <c r="F194" s="119"/>
      <c r="G194" s="52"/>
      <c r="H194" s="53"/>
    </row>
    <row r="195" spans="1:8" x14ac:dyDescent="0.2">
      <c r="A195" s="46"/>
      <c r="B195" s="121"/>
      <c r="C195" s="46"/>
      <c r="D195" s="109" t="s">
        <v>93</v>
      </c>
      <c r="E195" s="51"/>
      <c r="F195" s="122" t="str">
        <f>IF(F193&lt;&gt;"",F193*1.6,"-")</f>
        <v>-</v>
      </c>
      <c r="G195" s="52"/>
      <c r="H195" s="53"/>
    </row>
    <row r="196" spans="1:8" x14ac:dyDescent="0.2">
      <c r="A196" s="46"/>
      <c r="B196" s="121"/>
      <c r="C196" s="46"/>
      <c r="D196" s="113"/>
      <c r="E196" s="51"/>
      <c r="F196" s="119"/>
      <c r="G196" s="52"/>
      <c r="H196" s="53"/>
    </row>
    <row r="197" spans="1:8" x14ac:dyDescent="0.2">
      <c r="A197" s="46"/>
      <c r="B197" s="121"/>
      <c r="C197" s="46"/>
      <c r="D197" s="110" t="s">
        <v>100</v>
      </c>
      <c r="E197" s="47"/>
      <c r="F197" s="123" t="str">
        <f>IF(F191&lt;&gt;0,(1.6-1.1)*(F193)*(F191*0.06),"-")</f>
        <v>-</v>
      </c>
      <c r="G197" s="52"/>
      <c r="H197" s="53"/>
    </row>
    <row r="198" spans="1:8" x14ac:dyDescent="0.2">
      <c r="A198" s="46"/>
      <c r="B198" s="121"/>
      <c r="C198" s="46"/>
      <c r="D198" s="47"/>
      <c r="E198" s="47"/>
      <c r="F198" s="119"/>
      <c r="G198" s="52"/>
      <c r="H198" s="53"/>
    </row>
    <row r="199" spans="1:8" x14ac:dyDescent="0.2">
      <c r="A199" s="46"/>
      <c r="B199" s="121"/>
      <c r="C199" s="46"/>
      <c r="D199" s="110" t="s">
        <v>95</v>
      </c>
      <c r="E199" s="47"/>
      <c r="F199" s="150"/>
      <c r="G199" s="52"/>
      <c r="H199" s="53"/>
    </row>
    <row r="200" spans="1:8" x14ac:dyDescent="0.2">
      <c r="A200" s="46"/>
      <c r="B200" s="121"/>
      <c r="C200" s="46"/>
      <c r="D200" s="47"/>
      <c r="E200" s="47"/>
      <c r="F200" s="119"/>
      <c r="G200" s="52"/>
      <c r="H200" s="53"/>
    </row>
    <row r="201" spans="1:8" x14ac:dyDescent="0.2">
      <c r="A201" s="46"/>
      <c r="B201" s="124"/>
      <c r="C201" s="125"/>
      <c r="D201" s="126" t="s">
        <v>101</v>
      </c>
      <c r="E201" s="127"/>
      <c r="F201" s="128" t="str">
        <f>IF(F199&lt;&gt;"",(F197*F199)/100,"$0.00")</f>
        <v>$0.00</v>
      </c>
      <c r="G201" s="48"/>
      <c r="H201" s="48"/>
    </row>
    <row r="202" spans="1:8" x14ac:dyDescent="0.2">
      <c r="A202" s="46"/>
      <c r="B202" s="46"/>
      <c r="C202" s="46"/>
      <c r="D202" s="47"/>
      <c r="E202" s="47"/>
      <c r="F202" s="48"/>
      <c r="G202" s="48"/>
      <c r="H202" s="48"/>
    </row>
    <row r="203" spans="1:8" x14ac:dyDescent="0.2">
      <c r="A203" s="54"/>
      <c r="B203" s="55"/>
      <c r="C203" s="55"/>
      <c r="D203" s="47"/>
      <c r="E203" s="47"/>
      <c r="F203" s="48"/>
      <c r="G203" s="48"/>
      <c r="H203" s="48"/>
    </row>
    <row r="204" spans="1:8" x14ac:dyDescent="0.2">
      <c r="A204" s="55"/>
      <c r="B204" s="55"/>
      <c r="C204" s="55"/>
      <c r="D204" s="47"/>
      <c r="E204" s="47"/>
      <c r="F204" s="48"/>
      <c r="G204" s="48"/>
      <c r="H204" s="48"/>
    </row>
    <row r="205" spans="1:8" x14ac:dyDescent="0.2">
      <c r="A205" s="55"/>
      <c r="B205" s="55"/>
      <c r="C205" s="55"/>
      <c r="D205" s="47"/>
      <c r="E205" s="47"/>
      <c r="F205" s="48"/>
      <c r="G205" s="48"/>
      <c r="H205" s="48"/>
    </row>
    <row r="206" spans="1:8" x14ac:dyDescent="0.2">
      <c r="A206" s="54"/>
      <c r="B206" s="55"/>
      <c r="C206" s="55"/>
      <c r="D206" s="47"/>
      <c r="E206" s="47"/>
      <c r="F206" s="48"/>
      <c r="G206" s="48"/>
      <c r="H206" s="48"/>
    </row>
    <row r="207" spans="1:8" x14ac:dyDescent="0.2">
      <c r="A207" s="55"/>
      <c r="B207" s="55"/>
      <c r="C207" s="55"/>
      <c r="D207" s="47"/>
      <c r="E207" s="47"/>
      <c r="F207" s="48"/>
      <c r="G207" s="48"/>
      <c r="H207" s="48"/>
    </row>
    <row r="208" spans="1:8" x14ac:dyDescent="0.2">
      <c r="A208" s="55"/>
      <c r="B208" s="55"/>
      <c r="C208" s="55"/>
      <c r="D208" s="47"/>
      <c r="E208" s="47"/>
      <c r="F208" s="48"/>
      <c r="G208" s="48"/>
      <c r="H208" s="48"/>
    </row>
    <row r="209" spans="1:8" ht="22.5" customHeight="1" x14ac:dyDescent="0.2">
      <c r="A209" s="54"/>
      <c r="B209" s="55"/>
      <c r="C209" s="55"/>
      <c r="D209" s="47"/>
      <c r="E209" s="47"/>
      <c r="F209" s="48"/>
      <c r="G209" s="48"/>
      <c r="H209" s="48"/>
    </row>
  </sheetData>
  <sheetProtection sheet="1" objects="1" scenarios="1"/>
  <dataConsolidate/>
  <mergeCells count="26">
    <mergeCell ref="A165:B165"/>
    <mergeCell ref="C168:C169"/>
    <mergeCell ref="A133:B133"/>
    <mergeCell ref="C134:C135"/>
    <mergeCell ref="A136:B136"/>
    <mergeCell ref="A152:H152"/>
    <mergeCell ref="B157:F157"/>
    <mergeCell ref="A163:B163"/>
    <mergeCell ref="C131:C132"/>
    <mergeCell ref="A57:H57"/>
    <mergeCell ref="A65:G65"/>
    <mergeCell ref="A79:H79"/>
    <mergeCell ref="B84:F84"/>
    <mergeCell ref="C91:C100"/>
    <mergeCell ref="C102:C110"/>
    <mergeCell ref="C112:C113"/>
    <mergeCell ref="C115:C118"/>
    <mergeCell ref="C120:C122"/>
    <mergeCell ref="C124:C125"/>
    <mergeCell ref="C127:C129"/>
    <mergeCell ref="A52:G52"/>
    <mergeCell ref="A1:H1"/>
    <mergeCell ref="B6:F6"/>
    <mergeCell ref="A12:H12"/>
    <mergeCell ref="A30:H30"/>
    <mergeCell ref="A42:H42"/>
  </mergeCells>
  <dataValidations count="12">
    <dataValidation type="whole" operator="greaterThanOrEqual" allowBlank="1" showInputMessage="1" showErrorMessage="1" error="Bid decimals set to zero._x000a__x000a_Contact Heidi Hirsbrunner (X3622)_x000a__x000a_to modify Incentive Spreadsheet." sqref="D168:D171 D120:D122 D124:D125 D127:D129 D131:D132 D134:D135 D164 D166 D137" xr:uid="{38AA87C9-4150-402C-AA74-D85A460A2D6A}">
      <formula1>0</formula1>
    </dataValidation>
    <dataValidation type="whole" operator="greaterThanOrEqual" allowBlank="1" showInputMessage="1" showErrorMessage="1" error="Bid decimals set to zero._x000a__x000a_Contact Heidi Hirsbrunner (X3622)_x000a_                 _x000a_to modify Incentive Spreadsheet." sqref="D112:D113" xr:uid="{C7EE990E-FD9E-4BF0-849C-A35F6CCAD2DB}">
      <formula1>0</formula1>
    </dataValidation>
    <dataValidation type="whole" operator="greaterThanOrEqual" allowBlank="1" showInputMessage="1" showErrorMessage="1" error="Bid decimals set to zero._x000a__x000a_Contact Heidi Hirsbrunner (X3622) _x000a__x000a_to modify Incentive Spreadsheet." sqref="D102:D110" xr:uid="{DB48E8D4-ACD7-49DC-A7BD-C231255F7809}">
      <formula1>0</formula1>
    </dataValidation>
    <dataValidation type="whole" operator="greaterThanOrEqual" allowBlank="1" showInputMessage="1" showErrorMessage="1" error="Bid decimals set to zero._x000a__x000a_Contact Heidi Hirsbrunner (X3622)_x000a_                   _x000a_to modify Incentive Spreadsheet." sqref="D91:D100 D115:D118" xr:uid="{2F7A153C-0B7B-4009-8AF2-161D9C5DF352}">
      <formula1>0</formula1>
    </dataValidation>
    <dataValidation type="whole" operator="greaterThanOrEqual" allowBlank="1" showInputMessage="1" showErrorMessage="1" error="Bid decimals set to zero._x000a__x000a_Contact Heidi Hirsbrunner (X3622)_x000a_                _x000a_to modify Incentive Spreadsheet." sqref="D15 D17 D19 D21 D33 D23 D25 D27 D29 D35:D50" xr:uid="{DD8011C6-3D69-4B36-B885-FAEE90FBA09D}">
      <formula1>0</formula1>
    </dataValidation>
    <dataValidation allowBlank="1" showErrorMessage="1" sqref="B94" xr:uid="{E9097A6F-7592-4941-A0E1-48BF39124CFE}"/>
    <dataValidation allowBlank="1" sqref="B82:C82 B155:C155" xr:uid="{3A09A5A0-E0E3-4C43-8CEE-DC3FC1C80C6C}"/>
    <dataValidation allowBlank="1" showInputMessage="1" showErrorMessage="1" promptTitle="Enter project name" prompt="Example:  Pinto Basin Road" sqref="B6:F6" xr:uid="{BE338FFB-FB5B-44F0-95FF-172003398D34}"/>
    <dataValidation allowBlank="1" showInputMessage="1" showErrorMessage="1" promptTitle="Enter project number" prompt="Example:  CA FTNP JOTR 11(5)" sqref="B4:C4" xr:uid="{B71713D9-F9BB-4558-B985-01D76F216D47}"/>
    <dataValidation type="whole" operator="greaterThanOrEqual" allowBlank="1" showInputMessage="1" showErrorMessage="1" error="Bid decimals set to zero._x000a__x000a_Contact Steve Chapman (X7801)_x000a_                   or_x000a_    Greg Kwock (X7987)_x000a__x000a_to modify Incentive Spreadsheet." sqref="D51 D138:D151" xr:uid="{A2A12307-AA52-4BBA-9D26-62ACDB92B660}">
      <formula1>0</formula1>
    </dataValidation>
    <dataValidation type="list" showInputMessage="1" showErrorMessage="1" error="Please use drop-down menu to select a schedule" promptTitle="Select Schedule Type" prompt="Select Base, Option, or Alternate" sqref="H6" xr:uid="{51DF7512-E1C0-41DD-87F3-AEDE7540FBF4}">
      <formula1>"  , Base, Option, Alternate"</formula1>
    </dataValidation>
    <dataValidation type="list" allowBlank="1" showInputMessage="1" showErrorMessage="1" promptTitle="Choose Letter" prompt="If you need more than six schedules, then copy additional sheet tabs and calculate incentives separately for each schedule._x000a__x000a_Sheet tabs can be copied by left clicking the active tab, choosing 'Move or Copy', then clicking the &quot;Create Copy' checkbox." sqref="H8" xr:uid="{33CEC38A-11A6-4BBE-8369-EE4F91CC4457}">
      <formula1>", A, B, C, D, E, F, G, W, X, Y, Z"</formula1>
    </dataValidation>
  </dataValidations>
  <printOptions horizontalCentered="1"/>
  <pageMargins left="0.45" right="0.45" top="0.6" bottom="0.25" header="0" footer="0.05"/>
  <pageSetup scale="81" fitToHeight="2" orientation="portrait" r:id="rId1"/>
  <headerFooter>
    <oddFooter>&amp;RRev. 04-23-2024</oddFooter>
  </headerFooter>
  <rowBreaks count="1" manualBreakCount="1">
    <brk id="78" max="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7E4D6-5DDE-47DC-9A54-C3D172F14F7E}">
  <dimension ref="A1:K209"/>
  <sheetViews>
    <sheetView workbookViewId="0">
      <selection sqref="A1:H1"/>
    </sheetView>
  </sheetViews>
  <sheetFormatPr defaultColWidth="9.140625" defaultRowHeight="12.75" x14ac:dyDescent="0.2"/>
  <cols>
    <col min="1" max="1" width="14.140625" style="6" bestFit="1" customWidth="1"/>
    <col min="2" max="2" width="31.7109375" style="6" customWidth="1"/>
    <col min="3" max="3" width="6.140625" style="6" customWidth="1"/>
    <col min="4" max="4" width="14.140625" style="37" customWidth="1"/>
    <col min="5" max="5" width="1.7109375" style="37" customWidth="1"/>
    <col min="6" max="6" width="12.42578125" style="38" customWidth="1"/>
    <col min="7" max="7" width="14.42578125" style="38" customWidth="1"/>
    <col min="8" max="8" width="16.7109375" style="38" bestFit="1" customWidth="1"/>
    <col min="9" max="16384" width="9.140625" style="6"/>
  </cols>
  <sheetData>
    <row r="1" spans="1:8" ht="18" x14ac:dyDescent="0.25">
      <c r="A1" s="208" t="s">
        <v>0</v>
      </c>
      <c r="B1" s="208"/>
      <c r="C1" s="208"/>
      <c r="D1" s="208"/>
      <c r="E1" s="208"/>
      <c r="F1" s="208"/>
      <c r="G1" s="208"/>
      <c r="H1" s="208"/>
    </row>
    <row r="2" spans="1:8" ht="15" x14ac:dyDescent="0.2">
      <c r="A2" s="7"/>
      <c r="B2" s="7"/>
      <c r="C2" s="11" t="s">
        <v>1</v>
      </c>
      <c r="D2" s="205" t="str">
        <f>+Sheet1!D2</f>
        <v>FP-24</v>
      </c>
      <c r="E2" s="8"/>
      <c r="F2" s="9"/>
      <c r="G2" s="9"/>
      <c r="H2" s="9"/>
    </row>
    <row r="3" spans="1:8" x14ac:dyDescent="0.2">
      <c r="A3" s="7"/>
      <c r="B3" s="7"/>
      <c r="C3" s="7"/>
      <c r="D3" s="10"/>
      <c r="E3" s="8"/>
      <c r="F3" s="9"/>
      <c r="G3" s="9"/>
      <c r="H3" s="9"/>
    </row>
    <row r="4" spans="1:8" x14ac:dyDescent="0.2">
      <c r="A4" s="11" t="s">
        <v>3</v>
      </c>
      <c r="B4" s="206" t="str">
        <f>+Sheet1!B4</f>
        <v>AZ Heidi Test(1)</v>
      </c>
      <c r="C4" s="206"/>
      <c r="D4" s="12"/>
      <c r="E4" s="12"/>
      <c r="F4" s="13"/>
      <c r="G4" s="14" t="s">
        <v>5</v>
      </c>
      <c r="H4" s="15">
        <f ca="1" xml:space="preserve"> TODAY()</f>
        <v>45532</v>
      </c>
    </row>
    <row r="5" spans="1:8" ht="6" customHeight="1" x14ac:dyDescent="0.2">
      <c r="A5" s="11"/>
      <c r="B5" s="206"/>
      <c r="C5" s="206"/>
      <c r="D5" s="12"/>
      <c r="E5" s="12"/>
      <c r="F5" s="13"/>
      <c r="G5" s="14"/>
      <c r="H5" s="15"/>
    </row>
    <row r="6" spans="1:8" ht="15" x14ac:dyDescent="0.2">
      <c r="A6" s="11" t="s">
        <v>6</v>
      </c>
      <c r="B6" s="212" t="str">
        <f>+Sheet1!B6</f>
        <v>Heidi National Park</v>
      </c>
      <c r="C6" s="212">
        <f>+Sheet1!C6</f>
        <v>0</v>
      </c>
      <c r="D6" s="212">
        <f>+Sheet1!D6</f>
        <v>0</v>
      </c>
      <c r="E6" s="212">
        <f>+Sheet1!E6</f>
        <v>0</v>
      </c>
      <c r="F6" s="212">
        <f>+Sheet1!F6</f>
        <v>0</v>
      </c>
      <c r="G6" s="153" t="s">
        <v>8</v>
      </c>
      <c r="H6" s="1" t="s">
        <v>106</v>
      </c>
    </row>
    <row r="7" spans="1:8" ht="5.25" customHeight="1" x14ac:dyDescent="0.2">
      <c r="A7" s="11"/>
      <c r="B7" s="206"/>
      <c r="C7" s="206"/>
      <c r="D7" s="206"/>
      <c r="E7" s="206"/>
      <c r="F7" s="206"/>
      <c r="G7" s="14"/>
      <c r="H7" s="16"/>
    </row>
    <row r="8" spans="1:8" ht="12.75" customHeight="1" x14ac:dyDescent="0.2">
      <c r="A8" s="11"/>
      <c r="B8" s="206"/>
      <c r="C8" s="206"/>
      <c r="D8" s="206"/>
      <c r="E8" s="206"/>
      <c r="F8" s="206"/>
      <c r="G8" s="14" t="s">
        <v>10</v>
      </c>
      <c r="H8" s="204" t="s">
        <v>108</v>
      </c>
    </row>
    <row r="9" spans="1:8" ht="6" customHeight="1" x14ac:dyDescent="0.2">
      <c r="A9" s="11"/>
      <c r="B9" s="206"/>
      <c r="C9" s="206"/>
      <c r="D9" s="206"/>
      <c r="E9" s="206"/>
      <c r="F9" s="206"/>
      <c r="G9" s="14"/>
      <c r="H9" s="16"/>
    </row>
    <row r="10" spans="1:8" ht="15" x14ac:dyDescent="0.2">
      <c r="A10" s="7"/>
      <c r="B10" s="7"/>
      <c r="C10" s="7"/>
      <c r="D10" s="8"/>
      <c r="E10" s="8"/>
      <c r="F10" s="9"/>
      <c r="G10" s="14" t="s">
        <v>12</v>
      </c>
      <c r="H10" s="205" t="str">
        <f>+Sheet1!H10</f>
        <v>US CUSTOMARY</v>
      </c>
    </row>
    <row r="11" spans="1:8" ht="13.5" thickBot="1" x14ac:dyDescent="0.25">
      <c r="A11" s="7"/>
      <c r="B11" s="7"/>
      <c r="C11" s="7"/>
      <c r="D11" s="8"/>
      <c r="E11" s="8"/>
      <c r="F11" s="9"/>
      <c r="G11" s="14"/>
      <c r="H11" s="13"/>
    </row>
    <row r="12" spans="1:8" ht="18.75" customHeight="1" thickBot="1" x14ac:dyDescent="0.25">
      <c r="A12" s="207" t="s">
        <v>14</v>
      </c>
      <c r="B12" s="207"/>
      <c r="C12" s="207"/>
      <c r="D12" s="207"/>
      <c r="E12" s="207"/>
      <c r="F12" s="207"/>
      <c r="G12" s="207"/>
      <c r="H12" s="207"/>
    </row>
    <row r="13" spans="1:8" x14ac:dyDescent="0.2">
      <c r="A13" s="17" t="s">
        <v>15</v>
      </c>
      <c r="B13" s="17"/>
      <c r="C13" s="17"/>
      <c r="D13" s="17" t="s">
        <v>16</v>
      </c>
      <c r="E13" s="17"/>
      <c r="F13" s="17"/>
      <c r="G13" s="17"/>
      <c r="H13" s="17"/>
    </row>
    <row r="14" spans="1:8" ht="13.5" thickBot="1" x14ac:dyDescent="0.25">
      <c r="A14" s="18" t="s">
        <v>17</v>
      </c>
      <c r="B14" s="19" t="s">
        <v>18</v>
      </c>
      <c r="C14" s="19"/>
      <c r="D14" s="20" t="str">
        <f>IF(Units="US CUSTOMARY"," (Ton or SY)"," (tonnes or m2)")</f>
        <v xml:space="preserve"> (Ton or SY)</v>
      </c>
      <c r="E14" s="21"/>
      <c r="F14" s="20" t="s">
        <v>19</v>
      </c>
      <c r="G14" s="20" t="str">
        <f>"Q_"&amp;IF(Units="US CUSTOMARY","Ton","t")&amp;" Unit Price"</f>
        <v>Q_Ton Unit Price</v>
      </c>
      <c r="H14" s="20" t="s">
        <v>20</v>
      </c>
    </row>
    <row r="15" spans="1:8" ht="13.5" thickTop="1" x14ac:dyDescent="0.2">
      <c r="A15" s="22" t="str">
        <f>IF(FP="FP-24","301","301")</f>
        <v>301</v>
      </c>
      <c r="B15" s="23" t="str">
        <f>IF(FP="FP-03","Untreated Aggregate Courses","Untreated Aggregate Courses")</f>
        <v>Untreated Aggregate Courses</v>
      </c>
      <c r="C15" s="23"/>
      <c r="D15" s="3"/>
      <c r="E15" s="144"/>
      <c r="F15" s="4"/>
      <c r="G15" s="25" t="str">
        <f>IF(ISNUMBER(F15),ROUND(F15*0.05,2),"-")</f>
        <v>-</v>
      </c>
      <c r="H15" s="25" t="str">
        <f>IF(AND(ISNUMBER(D15),ISNUMBER(F15)),D15*G15,"-")</f>
        <v>-</v>
      </c>
    </row>
    <row r="16" spans="1:8" ht="6" customHeight="1" x14ac:dyDescent="0.2">
      <c r="A16" s="22"/>
      <c r="B16" s="23"/>
      <c r="C16" s="23"/>
      <c r="D16" s="144"/>
      <c r="E16" s="144"/>
      <c r="F16" s="145"/>
      <c r="G16" s="25"/>
      <c r="H16" s="25"/>
    </row>
    <row r="17" spans="1:11" x14ac:dyDescent="0.2">
      <c r="A17" s="22" t="str">
        <f>IF(FP="FP-24","308","309")</f>
        <v>308</v>
      </c>
      <c r="B17" s="23" t="str">
        <f>IF(FP="FP-24","Emulsified Asphalt-Treated Base Course","Emulsified Asphalt-Treated Base Course")</f>
        <v>Emulsified Asphalt-Treated Base Course</v>
      </c>
      <c r="C17" s="23"/>
      <c r="D17" s="3"/>
      <c r="E17" s="144"/>
      <c r="F17" s="4"/>
      <c r="G17" s="25" t="str">
        <f>IF(ISNUMBER(F17),ROUND(F17*0.05,2),"-")</f>
        <v>-</v>
      </c>
      <c r="H17" s="25" t="str">
        <f>IF(AND(ISNUMBER(D17),ISNUMBER(F17)),D17*G17,"-")</f>
        <v>-</v>
      </c>
    </row>
    <row r="18" spans="1:11" ht="6" customHeight="1" x14ac:dyDescent="0.2">
      <c r="A18" s="22"/>
      <c r="B18" s="23"/>
      <c r="C18" s="23"/>
      <c r="D18" s="144"/>
      <c r="E18" s="144"/>
      <c r="F18" s="145"/>
      <c r="G18" s="25"/>
      <c r="H18" s="25"/>
    </row>
    <row r="19" spans="1:11" x14ac:dyDescent="0.2">
      <c r="A19" s="22" t="str">
        <f>IF(FP="FP-24","311","311")</f>
        <v>311</v>
      </c>
      <c r="B19" s="23" t="str">
        <f>IF(FP="FP-03","Aggregate Stabiliation","Stabilized Aggregate Surface Course")</f>
        <v>Stabilized Aggregate Surface Course</v>
      </c>
      <c r="C19" s="23"/>
      <c r="D19" s="3"/>
      <c r="E19" s="144"/>
      <c r="F19" s="4"/>
      <c r="G19" s="25" t="str">
        <f t="shared" ref="G19:G25" si="0">IF(ISNUMBER(F19),ROUND(F19*0.05,2),"-")</f>
        <v>-</v>
      </c>
      <c r="H19" s="25" t="str">
        <f>IF(AND(ISNUMBER(D19),ISNUMBER(F19)),D19*G19,"-")</f>
        <v>-</v>
      </c>
    </row>
    <row r="20" spans="1:11" ht="6" customHeight="1" x14ac:dyDescent="0.2">
      <c r="A20" s="22"/>
      <c r="B20" s="23"/>
      <c r="C20" s="23"/>
      <c r="D20" s="144"/>
      <c r="E20" s="144"/>
      <c r="F20" s="145"/>
      <c r="G20" s="25"/>
      <c r="H20" s="25"/>
    </row>
    <row r="21" spans="1:11" x14ac:dyDescent="0.2">
      <c r="A21" s="22" t="str">
        <f>IF(FP="FP-24","405","405")</f>
        <v>405</v>
      </c>
      <c r="B21" s="23" t="str">
        <f>IF(FP="FP-24","Open-Graded Asphalt Friction Course","Open-Graded Asphalt Friction Course")</f>
        <v>Open-Graded Asphalt Friction Course</v>
      </c>
      <c r="C21" s="23"/>
      <c r="D21" s="3"/>
      <c r="E21" s="144"/>
      <c r="F21" s="4"/>
      <c r="G21" s="25" t="str">
        <f t="shared" si="0"/>
        <v>-</v>
      </c>
      <c r="H21" s="25" t="str">
        <f>IF(AND(ISNUMBER(D21),ISNUMBER(F21)),D21*G21,"-")</f>
        <v>-</v>
      </c>
    </row>
    <row r="22" spans="1:11" ht="6" customHeight="1" x14ac:dyDescent="0.2">
      <c r="A22" s="22"/>
      <c r="B22" s="23"/>
      <c r="C22" s="23"/>
      <c r="D22" s="144"/>
      <c r="E22" s="144"/>
      <c r="F22" s="145"/>
      <c r="G22" s="25"/>
      <c r="H22" s="25"/>
    </row>
    <row r="23" spans="1:11" x14ac:dyDescent="0.2">
      <c r="A23" s="22" t="str">
        <f>IF(FP="FP-24","407","407")</f>
        <v>407</v>
      </c>
      <c r="B23" s="23" t="str">
        <f>IF(FP="FP-24","Chip Seal","Chip Seal")</f>
        <v>Chip Seal</v>
      </c>
      <c r="C23" s="23"/>
      <c r="D23" s="3"/>
      <c r="E23" s="144"/>
      <c r="F23" s="4"/>
      <c r="G23" s="25" t="str">
        <f t="shared" si="0"/>
        <v>-</v>
      </c>
      <c r="H23" s="25" t="str">
        <f>IF(AND(ISNUMBER(D23),ISNUMBER(F23)),D23*G23,"-")</f>
        <v>-</v>
      </c>
    </row>
    <row r="24" spans="1:11" ht="6" customHeight="1" x14ac:dyDescent="0.2">
      <c r="A24" s="22"/>
      <c r="B24" s="23"/>
      <c r="C24" s="23"/>
      <c r="D24" s="144"/>
      <c r="E24" s="144"/>
      <c r="F24" s="145"/>
      <c r="G24" s="25"/>
      <c r="H24" s="25"/>
    </row>
    <row r="25" spans="1:11" x14ac:dyDescent="0.2">
      <c r="A25" s="22" t="str">
        <f>IF(FP="FP-24","-","-")</f>
        <v>-</v>
      </c>
      <c r="B25" s="23" t="str">
        <f>IF(FP="FP-24","                      - ","                      -")</f>
        <v xml:space="preserve">                      - </v>
      </c>
      <c r="C25" s="23"/>
      <c r="D25" s="3"/>
      <c r="E25" s="144"/>
      <c r="F25" s="4"/>
      <c r="G25" s="25" t="str">
        <f t="shared" si="0"/>
        <v>-</v>
      </c>
      <c r="H25" s="25" t="str">
        <f>IF(AND(ISNUMBER(D25),ISNUMBER(F25)),D25*G25,"-")</f>
        <v>-</v>
      </c>
    </row>
    <row r="26" spans="1:11" ht="6" customHeight="1" x14ac:dyDescent="0.2">
      <c r="A26" s="22"/>
      <c r="B26" s="23"/>
      <c r="C26" s="23"/>
      <c r="D26" s="144"/>
      <c r="E26" s="144"/>
      <c r="F26" s="145"/>
      <c r="G26" s="25"/>
      <c r="H26" s="25"/>
    </row>
    <row r="27" spans="1:11" x14ac:dyDescent="0.2">
      <c r="A27" s="22"/>
      <c r="B27" s="23"/>
      <c r="C27" s="23"/>
      <c r="D27" s="144"/>
      <c r="E27" s="144"/>
      <c r="F27" s="145"/>
      <c r="G27" s="25"/>
      <c r="H27" s="25"/>
    </row>
    <row r="28" spans="1:11" ht="6" customHeight="1" x14ac:dyDescent="0.2">
      <c r="A28" s="22"/>
      <c r="B28" s="23"/>
      <c r="C28" s="23"/>
      <c r="D28" s="144"/>
      <c r="E28" s="144"/>
      <c r="F28" s="145"/>
      <c r="G28" s="25"/>
      <c r="H28" s="25"/>
    </row>
    <row r="29" spans="1:11" ht="13.5" thickBot="1" x14ac:dyDescent="0.25">
      <c r="A29" s="22"/>
      <c r="B29" s="23"/>
      <c r="C29" s="23"/>
      <c r="D29" s="144"/>
      <c r="E29" s="144"/>
      <c r="F29" s="145"/>
      <c r="G29" s="25"/>
      <c r="H29" s="25"/>
    </row>
    <row r="30" spans="1:11" ht="18.75" customHeight="1" thickBot="1" x14ac:dyDescent="0.25">
      <c r="A30" s="207" t="s">
        <v>21</v>
      </c>
      <c r="B30" s="207"/>
      <c r="C30" s="207"/>
      <c r="D30" s="207"/>
      <c r="E30" s="207"/>
      <c r="F30" s="207"/>
      <c r="G30" s="207"/>
      <c r="H30" s="207"/>
      <c r="K30" s="27"/>
    </row>
    <row r="31" spans="1:11" ht="13.5" customHeight="1" x14ac:dyDescent="0.2">
      <c r="A31" s="28" t="s">
        <v>15</v>
      </c>
      <c r="B31" s="28"/>
      <c r="C31" s="17"/>
      <c r="D31" s="17" t="s">
        <v>16</v>
      </c>
      <c r="E31" s="28"/>
      <c r="F31" s="28"/>
      <c r="G31" s="28"/>
      <c r="H31" s="28"/>
      <c r="K31" s="27"/>
    </row>
    <row r="32" spans="1:11" ht="13.5" customHeight="1" thickBot="1" x14ac:dyDescent="0.25">
      <c r="A32" s="18" t="s">
        <v>17</v>
      </c>
      <c r="B32" s="19" t="s">
        <v>18</v>
      </c>
      <c r="C32" s="19"/>
      <c r="D32" s="20" t="str">
        <f>IF(Units="US CUSTOMARY"," (Ton or SY)"," (tonnes or m2)")</f>
        <v xml:space="preserve"> (Ton or SY)</v>
      </c>
      <c r="E32" s="21"/>
      <c r="F32" s="20" t="s">
        <v>19</v>
      </c>
      <c r="G32" s="20" t="str">
        <f>"Q_"&amp;IF(Units="US CUSTOMARY","Ton","t")&amp;" Unit Price"</f>
        <v>Q_Ton Unit Price</v>
      </c>
      <c r="H32" s="20" t="s">
        <v>20</v>
      </c>
    </row>
    <row r="33" spans="1:8" ht="13.5" customHeight="1" thickTop="1" x14ac:dyDescent="0.2">
      <c r="A33" s="22" t="str">
        <f>IF(FP="FP-24","401","401")</f>
        <v>401</v>
      </c>
      <c r="B33" s="23" t="str">
        <f>IF(FP="FP-24","ACP by Gyratory Mix Design","ACP by Gyratory Mix Design")</f>
        <v>ACP by Gyratory Mix Design</v>
      </c>
      <c r="C33" s="23"/>
      <c r="D33" s="3"/>
      <c r="E33" s="144"/>
      <c r="F33" s="4"/>
      <c r="G33" s="25" t="str">
        <f>IF(ISNUMBER(F33),ROUND(F33*0.06,2),"-")</f>
        <v>-</v>
      </c>
      <c r="H33" s="25" t="str">
        <f>IF(AND(ISNUMBER(D33),ISNUMBER(F33)),D33*G33,"-")</f>
        <v>-</v>
      </c>
    </row>
    <row r="34" spans="1:8" ht="6" customHeight="1" x14ac:dyDescent="0.2">
      <c r="A34" s="22"/>
      <c r="B34" s="23"/>
      <c r="C34" s="23"/>
      <c r="D34" s="144"/>
      <c r="E34" s="144"/>
      <c r="F34" s="145"/>
      <c r="G34" s="25"/>
      <c r="H34" s="25"/>
    </row>
    <row r="35" spans="1:8" ht="13.5" customHeight="1" x14ac:dyDescent="0.2">
      <c r="A35" s="22" t="str">
        <f>IF(FP="FP-24","402","402")</f>
        <v>402</v>
      </c>
      <c r="B35" s="23" t="str">
        <f>IF(FP="FP-24","ACP by Hveem or Marshall Mix Design","ACP by Hveem or Marshall Mix Design")</f>
        <v>ACP by Hveem or Marshall Mix Design</v>
      </c>
      <c r="C35" s="23"/>
      <c r="D35" s="3"/>
      <c r="E35" s="144"/>
      <c r="F35" s="4"/>
      <c r="G35" s="25" t="str">
        <f>IF(ISNUMBER(F35),ROUND(F35*0.06,2),"-")</f>
        <v>-</v>
      </c>
      <c r="H35" s="25" t="str">
        <f>IF(AND(ISNUMBER(D35),ISNUMBER(F35)),D35*G35,"-")</f>
        <v>-</v>
      </c>
    </row>
    <row r="36" spans="1:8" ht="6" customHeight="1" x14ac:dyDescent="0.2">
      <c r="A36" s="22"/>
      <c r="B36" s="23"/>
      <c r="C36" s="23"/>
      <c r="D36" s="144"/>
      <c r="E36" s="144"/>
      <c r="F36" s="145"/>
      <c r="G36" s="25"/>
      <c r="H36" s="25"/>
    </row>
    <row r="37" spans="1:8" ht="13.5" customHeight="1" x14ac:dyDescent="0.2">
      <c r="A37" s="22" t="str">
        <f>IF(FP="FP-24","-","-")</f>
        <v>-</v>
      </c>
      <c r="B37" s="23" t="str">
        <f>IF(FP="FP-24","                      -","                      -")</f>
        <v xml:space="preserve">                      -</v>
      </c>
      <c r="C37" s="23"/>
      <c r="D37" s="3"/>
      <c r="E37" s="144"/>
      <c r="F37" s="4"/>
      <c r="G37" s="25" t="str">
        <f>IF(ISNUMBER(F37),ROUND(F37*0.06,2),"-")</f>
        <v>-</v>
      </c>
      <c r="H37" s="25" t="str">
        <f>IF(AND(ISNUMBER(D37),ISNUMBER(F37)),D37*G37,"-")</f>
        <v>-</v>
      </c>
    </row>
    <row r="38" spans="1:8" ht="6" customHeight="1" x14ac:dyDescent="0.2">
      <c r="A38" s="22"/>
      <c r="B38" s="23"/>
      <c r="C38" s="23"/>
      <c r="D38" s="144"/>
      <c r="E38" s="144"/>
      <c r="F38" s="145"/>
      <c r="G38" s="25"/>
      <c r="H38" s="25"/>
    </row>
    <row r="39" spans="1:8" x14ac:dyDescent="0.2">
      <c r="A39" s="22"/>
      <c r="B39" s="23"/>
      <c r="C39" s="23"/>
      <c r="D39" s="144"/>
      <c r="E39" s="144"/>
      <c r="F39" s="145"/>
      <c r="G39" s="25"/>
      <c r="H39" s="25"/>
    </row>
    <row r="40" spans="1:8" ht="6" customHeight="1" x14ac:dyDescent="0.2">
      <c r="A40" s="22"/>
      <c r="B40" s="23"/>
      <c r="C40" s="23"/>
      <c r="D40" s="144"/>
      <c r="E40" s="144"/>
      <c r="F40" s="145"/>
      <c r="G40" s="25"/>
      <c r="H40" s="25"/>
    </row>
    <row r="41" spans="1:8" ht="13.5" thickBot="1" x14ac:dyDescent="0.25">
      <c r="A41" s="22"/>
      <c r="B41" s="23"/>
      <c r="C41" s="23"/>
      <c r="D41" s="144"/>
      <c r="E41" s="144"/>
      <c r="F41" s="145"/>
      <c r="G41" s="25"/>
      <c r="H41" s="25"/>
    </row>
    <row r="42" spans="1:8" ht="18.75" customHeight="1" thickBot="1" x14ac:dyDescent="0.25">
      <c r="A42" s="207" t="s">
        <v>22</v>
      </c>
      <c r="B42" s="207"/>
      <c r="C42" s="207"/>
      <c r="D42" s="207"/>
      <c r="E42" s="207"/>
      <c r="F42" s="207"/>
      <c r="G42" s="207"/>
      <c r="H42" s="207"/>
    </row>
    <row r="43" spans="1:8" ht="13.5" customHeight="1" x14ac:dyDescent="0.2">
      <c r="A43" s="28" t="s">
        <v>15</v>
      </c>
      <c r="B43" s="28"/>
      <c r="C43" s="17"/>
      <c r="D43" s="17" t="s">
        <v>16</v>
      </c>
      <c r="E43" s="28"/>
      <c r="F43" s="28"/>
      <c r="G43" s="28"/>
      <c r="H43" s="28"/>
    </row>
    <row r="44" spans="1:8" ht="13.5" customHeight="1" thickBot="1" x14ac:dyDescent="0.25">
      <c r="A44" s="18" t="s">
        <v>17</v>
      </c>
      <c r="B44" s="19" t="s">
        <v>18</v>
      </c>
      <c r="C44" s="19"/>
      <c r="D44" s="20" t="str">
        <f>IF(Units="US CUSTOMARY"," (Ton or SY)"," (tonnes or m2)")</f>
        <v xml:space="preserve"> (Ton or SY)</v>
      </c>
      <c r="E44" s="21"/>
      <c r="F44" s="20" t="s">
        <v>19</v>
      </c>
      <c r="G44" s="20" t="str">
        <f>"Q_"&amp;IF(Units="US CUSTOMARY","Ton","t")&amp;" Unit Price"</f>
        <v>Q_Ton Unit Price</v>
      </c>
      <c r="H44" s="20" t="s">
        <v>20</v>
      </c>
    </row>
    <row r="45" spans="1:8" ht="13.5" customHeight="1" thickTop="1" x14ac:dyDescent="0.2">
      <c r="A45" s="22" t="str">
        <f>IF(FP="FP-24","404"," -")</f>
        <v>404</v>
      </c>
      <c r="B45" s="23" t="str">
        <f>IF(FP="FP-24","Thin Lift Asphalt Concrete Pavement","                      -")</f>
        <v>Thin Lift Asphalt Concrete Pavement</v>
      </c>
      <c r="C45" s="23"/>
      <c r="D45" s="3"/>
      <c r="E45" s="144"/>
      <c r="F45" s="4"/>
      <c r="G45" s="25" t="str">
        <f>IF(ISNUMBER(F45),ROUND(F45*0.01,2),"-")</f>
        <v>-</v>
      </c>
      <c r="H45" s="25" t="str">
        <f>IF(AND(ISNUMBER(D45),ISNUMBER(F45)),D45*G45,"-")</f>
        <v>-</v>
      </c>
    </row>
    <row r="46" spans="1:8" ht="6" customHeight="1" x14ac:dyDescent="0.2">
      <c r="A46" s="22"/>
      <c r="B46" s="23"/>
      <c r="C46" s="23"/>
      <c r="D46" s="144"/>
      <c r="E46" s="144"/>
      <c r="F46" s="145"/>
      <c r="G46" s="25"/>
      <c r="H46" s="25"/>
    </row>
    <row r="47" spans="1:8" ht="13.5" customHeight="1" x14ac:dyDescent="0.2">
      <c r="A47" s="22"/>
      <c r="B47" s="23"/>
      <c r="C47" s="23"/>
      <c r="D47" s="144"/>
      <c r="E47" s="144"/>
      <c r="F47" s="145"/>
      <c r="G47" s="25"/>
      <c r="H47" s="25"/>
    </row>
    <row r="48" spans="1:8" ht="6" customHeight="1" x14ac:dyDescent="0.2">
      <c r="A48" s="22"/>
      <c r="B48" s="23"/>
      <c r="C48" s="23"/>
      <c r="D48" s="144"/>
      <c r="E48" s="144"/>
      <c r="F48" s="145"/>
      <c r="G48" s="25"/>
      <c r="H48" s="25"/>
    </row>
    <row r="49" spans="1:8" ht="13.5" customHeight="1" x14ac:dyDescent="0.2">
      <c r="A49" s="22"/>
      <c r="B49" s="23"/>
      <c r="C49" s="23"/>
      <c r="D49" s="144"/>
      <c r="E49" s="144"/>
      <c r="F49" s="145"/>
      <c r="G49" s="25"/>
      <c r="H49" s="25"/>
    </row>
    <row r="50" spans="1:8" x14ac:dyDescent="0.2">
      <c r="A50" s="22"/>
      <c r="B50" s="23"/>
      <c r="C50" s="23"/>
      <c r="D50" s="24"/>
      <c r="E50" s="24"/>
      <c r="F50" s="26"/>
      <c r="G50" s="25"/>
      <c r="H50" s="25"/>
    </row>
    <row r="51" spans="1:8" x14ac:dyDescent="0.2">
      <c r="A51" s="7"/>
      <c r="B51" s="7"/>
      <c r="C51" s="7"/>
      <c r="D51" s="8"/>
      <c r="E51" s="8"/>
      <c r="F51" s="9"/>
      <c r="G51" s="9"/>
      <c r="H51" s="9"/>
    </row>
    <row r="52" spans="1:8" x14ac:dyDescent="0.2">
      <c r="A52" s="211" t="s">
        <v>23</v>
      </c>
      <c r="B52" s="211"/>
      <c r="C52" s="211"/>
      <c r="D52" s="211"/>
      <c r="E52" s="211"/>
      <c r="F52" s="211"/>
      <c r="G52" s="211"/>
      <c r="H52" s="29">
        <f>SUM(H15,H17,H19,H21,H23,H25,H33,H35,H37,H45)</f>
        <v>0</v>
      </c>
    </row>
    <row r="53" spans="1:8" x14ac:dyDescent="0.2">
      <c r="A53" s="31"/>
      <c r="B53" s="31"/>
      <c r="C53" s="31"/>
      <c r="D53" s="31"/>
      <c r="E53" s="31"/>
      <c r="F53" s="31"/>
      <c r="G53" s="31"/>
      <c r="H53" s="32"/>
    </row>
    <row r="54" spans="1:8" ht="6" customHeight="1" x14ac:dyDescent="0.2">
      <c r="A54" s="31"/>
      <c r="B54" s="31"/>
      <c r="C54" s="31"/>
      <c r="D54" s="31"/>
      <c r="E54" s="31"/>
      <c r="F54" s="31"/>
      <c r="G54" s="31"/>
      <c r="H54" s="32"/>
    </row>
    <row r="55" spans="1:8" x14ac:dyDescent="0.2">
      <c r="A55" s="31"/>
      <c r="B55" s="31"/>
      <c r="C55" s="31"/>
      <c r="D55" s="31"/>
      <c r="E55" s="31"/>
      <c r="F55" s="31"/>
      <c r="G55" s="31"/>
      <c r="H55" s="32"/>
    </row>
    <row r="56" spans="1:8" ht="13.5" thickBot="1" x14ac:dyDescent="0.25">
      <c r="A56" s="7"/>
      <c r="B56" s="7"/>
      <c r="C56" s="7"/>
      <c r="D56" s="8"/>
      <c r="E56" s="8"/>
      <c r="F56" s="9"/>
      <c r="G56" s="9"/>
      <c r="H56" s="9"/>
    </row>
    <row r="57" spans="1:8" ht="18.75" thickBot="1" x14ac:dyDescent="0.25">
      <c r="A57" s="210" t="s">
        <v>24</v>
      </c>
      <c r="B57" s="210"/>
      <c r="C57" s="210"/>
      <c r="D57" s="210"/>
      <c r="E57" s="210"/>
      <c r="F57" s="210"/>
      <c r="G57" s="210"/>
      <c r="H57" s="210"/>
    </row>
    <row r="58" spans="1:8" x14ac:dyDescent="0.2">
      <c r="A58" s="28" t="s">
        <v>15</v>
      </c>
      <c r="B58" s="28"/>
      <c r="C58" s="28"/>
      <c r="D58" s="28" t="s">
        <v>25</v>
      </c>
      <c r="E58" s="28"/>
      <c r="F58" s="28"/>
      <c r="G58" s="28"/>
      <c r="H58" s="28"/>
    </row>
    <row r="59" spans="1:8" ht="13.5" thickBot="1" x14ac:dyDescent="0.25">
      <c r="A59" s="18" t="s">
        <v>17</v>
      </c>
      <c r="B59" s="19" t="s">
        <v>18</v>
      </c>
      <c r="C59" s="19"/>
      <c r="D59" s="21" t="str">
        <f>"Lane-"&amp;IF(Units="US CUSTOMARY","miles","kilometers")</f>
        <v>Lane-miles</v>
      </c>
      <c r="E59" s="21"/>
      <c r="F59" s="20"/>
      <c r="G59" s="20"/>
      <c r="H59" s="20" t="s">
        <v>20</v>
      </c>
    </row>
    <row r="60" spans="1:8" ht="13.5" thickTop="1" x14ac:dyDescent="0.2">
      <c r="A60" s="22">
        <v>401</v>
      </c>
      <c r="B60" s="7" t="s">
        <v>103</v>
      </c>
      <c r="C60" s="7"/>
      <c r="D60" s="5"/>
      <c r="E60" s="33"/>
      <c r="F60" s="25"/>
      <c r="G60" s="25"/>
      <c r="H60" s="25" t="str">
        <f>IF(ISNUMBER(D60),IF(FP="FP-14",(IF(Units="US CUSTOMARY",80000,49600)*(1.05-1)*D60),(IF(FP="FP-24",(IF(Units="Us Customary",100000,62200)*(1.05-1)*D60)))),"-")</f>
        <v>-</v>
      </c>
    </row>
    <row r="61" spans="1:8" ht="6" customHeight="1" x14ac:dyDescent="0.2">
      <c r="A61" s="22"/>
      <c r="B61" s="7"/>
      <c r="C61" s="7"/>
      <c r="D61" s="146"/>
      <c r="E61" s="33"/>
      <c r="F61" s="25"/>
      <c r="G61" s="25"/>
      <c r="H61" s="25"/>
    </row>
    <row r="62" spans="1:8" x14ac:dyDescent="0.2">
      <c r="A62" s="22">
        <v>402</v>
      </c>
      <c r="B62" s="7" t="str">
        <f>IF(FP="FP-03","Hot ACP By Hveem or Marshall Mix Design","ACP By Hveem or Marshall Mix Design")</f>
        <v>ACP By Hveem or Marshall Mix Design</v>
      </c>
      <c r="C62" s="7"/>
      <c r="D62" s="5"/>
      <c r="E62" s="33"/>
      <c r="F62" s="25"/>
      <c r="G62" s="25"/>
      <c r="H62" s="25" t="str">
        <f>IF(ISNUMBER(D62),IF(FP="FP-14",(IF(Units="US CUSTOMARY",80000,49600)*(1.05-1)*D62),(IF(FP="FP-24",(IF(Units="Us Customary",100000,62200)*(1.05-1)*D62)))),"-")</f>
        <v>-</v>
      </c>
    </row>
    <row r="63" spans="1:8" x14ac:dyDescent="0.2">
      <c r="A63" s="22"/>
      <c r="B63" s="7"/>
      <c r="C63" s="7"/>
      <c r="D63" s="33"/>
      <c r="E63" s="33"/>
      <c r="F63" s="25"/>
      <c r="G63" s="25"/>
      <c r="H63" s="25"/>
    </row>
    <row r="64" spans="1:8" x14ac:dyDescent="0.2">
      <c r="A64" s="7"/>
      <c r="B64" s="7"/>
      <c r="C64" s="7"/>
      <c r="D64" s="8"/>
      <c r="E64" s="8"/>
      <c r="F64" s="9"/>
      <c r="G64" s="9"/>
      <c r="H64" s="9"/>
    </row>
    <row r="65" spans="1:8" x14ac:dyDescent="0.2">
      <c r="A65" s="211" t="s">
        <v>26</v>
      </c>
      <c r="B65" s="211"/>
      <c r="C65" s="211"/>
      <c r="D65" s="211"/>
      <c r="E65" s="211"/>
      <c r="F65" s="211"/>
      <c r="G65" s="211"/>
      <c r="H65" s="34">
        <f>SUM(H60,H62)</f>
        <v>0</v>
      </c>
    </row>
    <row r="66" spans="1:8" x14ac:dyDescent="0.2">
      <c r="A66" s="7"/>
      <c r="B66" s="7"/>
      <c r="C66" s="7"/>
      <c r="D66" s="8"/>
      <c r="E66" s="8"/>
      <c r="F66" s="9"/>
      <c r="G66" s="35"/>
      <c r="H66" s="36"/>
    </row>
    <row r="67" spans="1:8" x14ac:dyDescent="0.2">
      <c r="A67" s="39" t="s">
        <v>27</v>
      </c>
      <c r="B67" s="40" t="s">
        <v>28</v>
      </c>
      <c r="C67" s="40"/>
      <c r="D67" s="8"/>
      <c r="E67" s="8"/>
      <c r="F67" s="9"/>
      <c r="G67" s="9"/>
      <c r="H67" s="9"/>
    </row>
    <row r="68" spans="1:8" x14ac:dyDescent="0.2">
      <c r="A68" s="40"/>
      <c r="B68" s="40" t="s">
        <v>29</v>
      </c>
      <c r="C68" s="40"/>
      <c r="D68" s="8"/>
      <c r="E68" s="8"/>
      <c r="F68" s="9"/>
      <c r="G68" s="9"/>
      <c r="H68" s="9"/>
    </row>
    <row r="69" spans="1:8" x14ac:dyDescent="0.2">
      <c r="A69" s="40"/>
      <c r="B69" s="40"/>
      <c r="C69" s="40"/>
      <c r="D69" s="8"/>
      <c r="E69" s="8"/>
      <c r="F69" s="9"/>
      <c r="G69" s="9"/>
      <c r="H69" s="9"/>
    </row>
    <row r="70" spans="1:8" x14ac:dyDescent="0.2">
      <c r="A70" s="39" t="s">
        <v>30</v>
      </c>
      <c r="B70" s="40" t="s">
        <v>31</v>
      </c>
      <c r="C70" s="40"/>
      <c r="D70" s="8"/>
      <c r="E70" s="8"/>
      <c r="F70" s="9"/>
      <c r="G70" s="9"/>
      <c r="H70" s="9"/>
    </row>
    <row r="71" spans="1:8" x14ac:dyDescent="0.2">
      <c r="A71" s="40"/>
      <c r="B71" s="40" t="s">
        <v>29</v>
      </c>
      <c r="C71" s="40"/>
      <c r="D71" s="8"/>
      <c r="E71" s="8"/>
      <c r="F71" s="9"/>
      <c r="G71" s="9"/>
      <c r="H71" s="9"/>
    </row>
    <row r="72" spans="1:8" x14ac:dyDescent="0.2">
      <c r="A72" s="7"/>
      <c r="B72" s="7"/>
      <c r="C72" s="40"/>
      <c r="D72" s="8"/>
      <c r="E72" s="8"/>
      <c r="F72" s="9"/>
      <c r="G72" s="9"/>
      <c r="H72" s="9"/>
    </row>
    <row r="73" spans="1:8" x14ac:dyDescent="0.2">
      <c r="A73" s="39" t="s">
        <v>32</v>
      </c>
      <c r="B73" s="40" t="s">
        <v>31</v>
      </c>
      <c r="C73" s="40"/>
      <c r="D73" s="8"/>
      <c r="E73" s="8"/>
      <c r="F73" s="9"/>
      <c r="G73" s="9"/>
      <c r="H73" s="9"/>
    </row>
    <row r="74" spans="1:8" x14ac:dyDescent="0.2">
      <c r="A74" s="40"/>
      <c r="B74" s="40" t="s">
        <v>29</v>
      </c>
      <c r="C74" s="40"/>
      <c r="D74" s="8"/>
      <c r="E74" s="8"/>
      <c r="F74" s="9"/>
      <c r="G74" s="9"/>
      <c r="H74" s="9"/>
    </row>
    <row r="75" spans="1:8" x14ac:dyDescent="0.2">
      <c r="A75" s="40"/>
      <c r="B75" s="40"/>
      <c r="C75" s="40"/>
      <c r="D75" s="8"/>
      <c r="E75" s="8"/>
      <c r="F75" s="9"/>
      <c r="G75" s="9"/>
      <c r="H75" s="9"/>
    </row>
    <row r="76" spans="1:8" x14ac:dyDescent="0.2">
      <c r="A76" s="190" t="s">
        <v>33</v>
      </c>
      <c r="B76" s="191" t="str">
        <f>"Incentive Amt = (Lane-"&amp;IF(Units="US CUSTOMARY","miles","kilometers")&amp;" x "&amp;IF(FP="FP-14",IF(Units="US CUSTOMARY","80,000 x 0.05)","49,600 x 0.05)"),IF(FP="FP-24",IF(Units="US CUSTOMARY","100,000 x 0.05)","62,200 x 0.05)")))</f>
        <v>Incentive Amt = (Lane-miles x 100,000 x 0.05)</v>
      </c>
      <c r="C76" s="40"/>
      <c r="D76" s="8"/>
      <c r="E76" s="8"/>
      <c r="F76" s="9"/>
      <c r="G76" s="9"/>
      <c r="H76" s="9"/>
    </row>
    <row r="77" spans="1:8" x14ac:dyDescent="0.2">
      <c r="A77" s="190"/>
      <c r="B77" s="191"/>
      <c r="C77" s="40"/>
      <c r="D77" s="8"/>
      <c r="E77" s="8"/>
      <c r="F77" s="9"/>
      <c r="G77" s="9"/>
      <c r="H77" s="9"/>
    </row>
    <row r="78" spans="1:8" x14ac:dyDescent="0.2">
      <c r="A78" s="190"/>
      <c r="B78" s="191"/>
      <c r="C78" s="40"/>
      <c r="D78" s="8"/>
      <c r="E78" s="8"/>
      <c r="F78" s="9"/>
      <c r="G78" s="9"/>
      <c r="H78" s="9"/>
    </row>
    <row r="79" spans="1:8" ht="18" x14ac:dyDescent="0.25">
      <c r="A79" s="208" t="s">
        <v>34</v>
      </c>
      <c r="B79" s="208"/>
      <c r="C79" s="208"/>
      <c r="D79" s="208"/>
      <c r="E79" s="208"/>
      <c r="F79" s="208"/>
      <c r="G79" s="208"/>
      <c r="H79" s="208"/>
    </row>
    <row r="80" spans="1:8" x14ac:dyDescent="0.2">
      <c r="A80" s="7"/>
      <c r="B80" s="7"/>
      <c r="C80" s="11" t="s">
        <v>1</v>
      </c>
      <c r="D80" s="12" t="str">
        <f>+Sheet1!D2</f>
        <v>FP-24</v>
      </c>
      <c r="E80" s="8"/>
      <c r="F80" s="9"/>
      <c r="G80" s="9"/>
      <c r="H80" s="9"/>
    </row>
    <row r="81" spans="1:8" x14ac:dyDescent="0.2">
      <c r="A81" s="7"/>
      <c r="B81" s="7"/>
      <c r="C81" s="7"/>
      <c r="D81" s="10"/>
      <c r="E81" s="8"/>
      <c r="F81" s="9"/>
      <c r="G81" s="9"/>
      <c r="H81" s="9"/>
    </row>
    <row r="82" spans="1:8" x14ac:dyDescent="0.2">
      <c r="A82" s="11" t="s">
        <v>3</v>
      </c>
      <c r="B82" s="206" t="str">
        <f>+B4</f>
        <v>AZ Heidi Test(1)</v>
      </c>
      <c r="C82" s="206"/>
      <c r="D82" s="12"/>
      <c r="E82" s="12"/>
      <c r="F82" s="13"/>
      <c r="G82" s="14" t="s">
        <v>5</v>
      </c>
      <c r="H82" s="15">
        <f ca="1" xml:space="preserve"> TODAY()</f>
        <v>45532</v>
      </c>
    </row>
    <row r="83" spans="1:8" ht="4.5" customHeight="1" x14ac:dyDescent="0.2">
      <c r="A83" s="11"/>
      <c r="B83" s="206"/>
      <c r="C83" s="206"/>
      <c r="D83" s="12"/>
      <c r="E83" s="12"/>
      <c r="F83" s="13"/>
      <c r="G83" s="14"/>
      <c r="H83" s="15"/>
    </row>
    <row r="84" spans="1:8" x14ac:dyDescent="0.2">
      <c r="A84" s="11" t="s">
        <v>6</v>
      </c>
      <c r="B84" s="212" t="str">
        <f>+B6</f>
        <v>Heidi National Park</v>
      </c>
      <c r="C84" s="212"/>
      <c r="D84" s="212"/>
      <c r="E84" s="212"/>
      <c r="F84" s="212"/>
      <c r="G84" s="14" t="str">
        <f>+G6</f>
        <v xml:space="preserve">Schedule Type: </v>
      </c>
      <c r="H84" s="16" t="str">
        <f>+H6</f>
        <v>Option</v>
      </c>
    </row>
    <row r="85" spans="1:8" x14ac:dyDescent="0.2">
      <c r="A85" s="11"/>
      <c r="B85" s="206"/>
      <c r="C85" s="206"/>
      <c r="D85" s="206"/>
      <c r="E85" s="206"/>
      <c r="F85" s="206"/>
      <c r="G85" s="14" t="str">
        <f>+G8</f>
        <v>Schedule Letter:</v>
      </c>
      <c r="H85" s="16" t="str">
        <f>+H8</f>
        <v>Y</v>
      </c>
    </row>
    <row r="86" spans="1:8" x14ac:dyDescent="0.2">
      <c r="A86" s="7"/>
      <c r="B86" s="7"/>
      <c r="C86" s="7"/>
      <c r="D86" s="8"/>
      <c r="E86" s="8"/>
      <c r="F86" s="9"/>
      <c r="G86" s="14" t="s">
        <v>12</v>
      </c>
      <c r="H86" s="13" t="str">
        <f>+Units</f>
        <v>US CUSTOMARY</v>
      </c>
    </row>
    <row r="87" spans="1:8" ht="6.75" customHeight="1" thickBot="1" x14ac:dyDescent="0.25">
      <c r="A87" s="7"/>
      <c r="B87" s="7"/>
      <c r="C87" s="7"/>
      <c r="D87" s="8"/>
      <c r="E87" s="8"/>
      <c r="F87" s="9"/>
      <c r="G87" s="14"/>
      <c r="H87" s="13"/>
    </row>
    <row r="88" spans="1:8" ht="19.5" customHeight="1" thickBot="1" x14ac:dyDescent="0.25">
      <c r="A88" s="129" t="s">
        <v>35</v>
      </c>
      <c r="B88" s="130"/>
      <c r="C88" s="130"/>
      <c r="D88" s="130"/>
      <c r="E88" s="130"/>
      <c r="F88" s="130"/>
      <c r="G88" s="130"/>
      <c r="H88" s="131"/>
    </row>
    <row r="89" spans="1:8" ht="5.25" customHeight="1" x14ac:dyDescent="0.2">
      <c r="A89" s="17"/>
      <c r="B89" s="43"/>
      <c r="C89" s="43"/>
      <c r="D89" s="44"/>
      <c r="E89" s="45"/>
      <c r="F89" s="44"/>
      <c r="G89" s="44"/>
      <c r="H89" s="44"/>
    </row>
    <row r="90" spans="1:8" x14ac:dyDescent="0.2">
      <c r="A90" s="56" t="s">
        <v>36</v>
      </c>
      <c r="B90" s="57"/>
      <c r="C90" s="58" t="s">
        <v>37</v>
      </c>
      <c r="D90" s="59" t="str">
        <f>IF(Units="US CUSTOMARY"," CUYD"," m3")</f>
        <v xml:space="preserve"> CUYD</v>
      </c>
      <c r="E90" s="60"/>
      <c r="F90" s="61" t="s">
        <v>38</v>
      </c>
      <c r="G90" s="44"/>
      <c r="H90" s="44"/>
    </row>
    <row r="91" spans="1:8" x14ac:dyDescent="0.2">
      <c r="A91" s="87">
        <v>20401</v>
      </c>
      <c r="B91" s="88" t="s">
        <v>39</v>
      </c>
      <c r="C91" s="215">
        <f>IF(Units="US Customary", 0.3, 0.39)</f>
        <v>0.3</v>
      </c>
      <c r="D91" s="90"/>
      <c r="E91" s="91"/>
      <c r="F91" s="108" t="str">
        <f>IF(ISNUMBER(D91),+C$91*D91, "-")</f>
        <v>-</v>
      </c>
      <c r="G91" s="25"/>
      <c r="H91" s="25"/>
    </row>
    <row r="92" spans="1:8" ht="12.75" customHeight="1" x14ac:dyDescent="0.2">
      <c r="A92" s="87">
        <v>20402</v>
      </c>
      <c r="B92" s="88" t="s">
        <v>40</v>
      </c>
      <c r="C92" s="216"/>
      <c r="D92" s="90"/>
      <c r="E92" s="91"/>
      <c r="F92" s="108" t="str">
        <f t="shared" ref="F92:F100" si="1">IF(ISNUMBER(D92),+C$91*D92, "-")</f>
        <v>-</v>
      </c>
      <c r="G92" s="25"/>
      <c r="H92" s="25"/>
    </row>
    <row r="93" spans="1:8" ht="12.75" customHeight="1" x14ac:dyDescent="0.2">
      <c r="A93" s="87">
        <v>20403</v>
      </c>
      <c r="B93" s="88" t="s">
        <v>41</v>
      </c>
      <c r="C93" s="216"/>
      <c r="D93" s="90"/>
      <c r="E93" s="91"/>
      <c r="F93" s="108" t="str">
        <f t="shared" si="1"/>
        <v>-</v>
      </c>
      <c r="G93" s="25"/>
      <c r="H93" s="25"/>
    </row>
    <row r="94" spans="1:8" ht="12.75" customHeight="1" x14ac:dyDescent="0.2">
      <c r="A94" s="87">
        <v>20404</v>
      </c>
      <c r="B94" s="89" t="s">
        <v>42</v>
      </c>
      <c r="C94" s="216"/>
      <c r="D94" s="90"/>
      <c r="E94" s="91"/>
      <c r="F94" s="108" t="str">
        <f t="shared" si="1"/>
        <v>-</v>
      </c>
      <c r="G94" s="25"/>
      <c r="H94" s="25"/>
    </row>
    <row r="95" spans="1:8" ht="12.75" customHeight="1" x14ac:dyDescent="0.2">
      <c r="A95" s="87">
        <v>20410</v>
      </c>
      <c r="B95" s="89" t="s">
        <v>43</v>
      </c>
      <c r="C95" s="216"/>
      <c r="D95" s="90"/>
      <c r="E95" s="91"/>
      <c r="F95" s="108" t="str">
        <f t="shared" si="1"/>
        <v>-</v>
      </c>
      <c r="G95" s="25"/>
      <c r="H95" s="25"/>
    </row>
    <row r="96" spans="1:8" ht="12.75" customHeight="1" x14ac:dyDescent="0.2">
      <c r="A96" s="87">
        <v>20411</v>
      </c>
      <c r="B96" s="89" t="s">
        <v>44</v>
      </c>
      <c r="C96" s="216"/>
      <c r="D96" s="90"/>
      <c r="E96" s="91"/>
      <c r="F96" s="108" t="str">
        <f t="shared" si="1"/>
        <v>-</v>
      </c>
      <c r="G96" s="25"/>
      <c r="H96" s="25"/>
    </row>
    <row r="97" spans="1:8" ht="12.75" customHeight="1" x14ac:dyDescent="0.2">
      <c r="A97" s="87" t="str">
        <f>IF(FP="FP-24","-","20415")</f>
        <v>-</v>
      </c>
      <c r="B97" s="88" t="str">
        <f>IF(FP="FP-24","                      -","Select topping")</f>
        <v xml:space="preserve">                      -</v>
      </c>
      <c r="C97" s="216"/>
      <c r="D97" s="90"/>
      <c r="E97" s="91"/>
      <c r="F97" s="108" t="str">
        <f t="shared" si="1"/>
        <v>-</v>
      </c>
      <c r="G97" s="25"/>
      <c r="H97" s="25"/>
    </row>
    <row r="98" spans="1:8" ht="12.75" customHeight="1" x14ac:dyDescent="0.2">
      <c r="A98" s="87" t="str">
        <f>IF(FP="FP-24","-","20416")</f>
        <v>-</v>
      </c>
      <c r="B98" s="88" t="str">
        <f>IF(FP="FP-24","                      -","Select topping")</f>
        <v xml:space="preserve">                      -</v>
      </c>
      <c r="C98" s="216"/>
      <c r="D98" s="90"/>
      <c r="E98" s="91"/>
      <c r="F98" s="108" t="str">
        <f t="shared" si="1"/>
        <v>-</v>
      </c>
      <c r="G98" s="25"/>
      <c r="H98" s="25"/>
    </row>
    <row r="99" spans="1:8" ht="12.75" customHeight="1" x14ac:dyDescent="0.2">
      <c r="A99" s="87">
        <v>20420</v>
      </c>
      <c r="B99" s="89" t="s">
        <v>45</v>
      </c>
      <c r="C99" s="216"/>
      <c r="D99" s="90"/>
      <c r="E99" s="91"/>
      <c r="F99" s="108" t="str">
        <f t="shared" si="1"/>
        <v>-</v>
      </c>
      <c r="G99" s="25"/>
      <c r="H99" s="25"/>
    </row>
    <row r="100" spans="1:8" ht="12.75" customHeight="1" x14ac:dyDescent="0.2">
      <c r="A100" s="87">
        <v>20421</v>
      </c>
      <c r="B100" s="89" t="s">
        <v>46</v>
      </c>
      <c r="C100" s="216"/>
      <c r="D100" s="90"/>
      <c r="E100" s="91"/>
      <c r="F100" s="108" t="str">
        <f t="shared" si="1"/>
        <v>-</v>
      </c>
      <c r="G100" s="25"/>
      <c r="H100" s="25"/>
    </row>
    <row r="101" spans="1:8" x14ac:dyDescent="0.2">
      <c r="A101" s="62" t="s">
        <v>47</v>
      </c>
      <c r="B101" s="63"/>
      <c r="C101" s="58" t="s">
        <v>37</v>
      </c>
      <c r="D101" s="59" t="str">
        <f>IF(Units="US CUSTOMARY"," Tons"," tonnes")</f>
        <v xml:space="preserve"> Tons</v>
      </c>
      <c r="E101" s="60"/>
      <c r="F101" s="61" t="s">
        <v>38</v>
      </c>
      <c r="G101" s="25"/>
      <c r="H101" s="25"/>
    </row>
    <row r="102" spans="1:8" x14ac:dyDescent="0.2">
      <c r="A102" s="87">
        <v>30101</v>
      </c>
      <c r="B102" s="89" t="s">
        <v>48</v>
      </c>
      <c r="C102" s="217">
        <f>IF(Units="US Customary", 0.7, 0.77)</f>
        <v>0.7</v>
      </c>
      <c r="D102" s="90"/>
      <c r="E102" s="91"/>
      <c r="F102" s="108" t="str">
        <f>IF(ISNUMBER(D102),+C$102*D102, "-")</f>
        <v>-</v>
      </c>
      <c r="G102" s="25"/>
      <c r="H102" s="25"/>
    </row>
    <row r="103" spans="1:8" x14ac:dyDescent="0.2">
      <c r="A103" s="87">
        <v>30102</v>
      </c>
      <c r="B103" s="89" t="s">
        <v>49</v>
      </c>
      <c r="C103" s="218"/>
      <c r="D103" s="90"/>
      <c r="E103" s="91"/>
      <c r="F103" s="108" t="str">
        <f t="shared" ref="F103:F110" si="2">IF(ISNUMBER(D103),+C$102*D103, "-")</f>
        <v>-</v>
      </c>
      <c r="G103" s="25"/>
      <c r="H103" s="25"/>
    </row>
    <row r="104" spans="1:8" x14ac:dyDescent="0.2">
      <c r="A104" s="87">
        <v>30103</v>
      </c>
      <c r="B104" s="89" t="s">
        <v>49</v>
      </c>
      <c r="C104" s="218"/>
      <c r="D104" s="90"/>
      <c r="E104" s="91"/>
      <c r="F104" s="108" t="str">
        <f t="shared" si="2"/>
        <v>-</v>
      </c>
      <c r="G104" s="25"/>
      <c r="H104" s="25"/>
    </row>
    <row r="105" spans="1:8" x14ac:dyDescent="0.2">
      <c r="A105" s="135">
        <v>30105</v>
      </c>
      <c r="B105" s="136" t="s">
        <v>50</v>
      </c>
      <c r="C105" s="218"/>
      <c r="D105" s="90"/>
      <c r="E105" s="91"/>
      <c r="F105" s="108" t="str">
        <f t="shared" si="2"/>
        <v>-</v>
      </c>
      <c r="G105" s="25"/>
      <c r="H105" s="25"/>
    </row>
    <row r="106" spans="1:8" x14ac:dyDescent="0.2">
      <c r="A106" s="135">
        <v>30106</v>
      </c>
      <c r="B106" s="136" t="s">
        <v>51</v>
      </c>
      <c r="C106" s="218"/>
      <c r="D106" s="90"/>
      <c r="E106" s="91"/>
      <c r="F106" s="108" t="str">
        <f t="shared" si="2"/>
        <v>-</v>
      </c>
      <c r="G106" s="25"/>
      <c r="H106" s="25"/>
    </row>
    <row r="107" spans="1:8" x14ac:dyDescent="0.2">
      <c r="A107" s="135">
        <v>30107</v>
      </c>
      <c r="B107" s="136" t="s">
        <v>51</v>
      </c>
      <c r="C107" s="218"/>
      <c r="D107" s="90"/>
      <c r="E107" s="91"/>
      <c r="F107" s="108" t="str">
        <f t="shared" si="2"/>
        <v>-</v>
      </c>
      <c r="G107" s="25"/>
      <c r="H107" s="25"/>
    </row>
    <row r="108" spans="1:8" x14ac:dyDescent="0.2">
      <c r="A108" s="135">
        <v>30110</v>
      </c>
      <c r="B108" s="136" t="s">
        <v>52</v>
      </c>
      <c r="C108" s="218"/>
      <c r="D108" s="90"/>
      <c r="E108" s="91"/>
      <c r="F108" s="108" t="str">
        <f t="shared" si="2"/>
        <v>-</v>
      </c>
      <c r="G108" s="25"/>
      <c r="H108" s="25"/>
    </row>
    <row r="109" spans="1:8" x14ac:dyDescent="0.2">
      <c r="A109" s="135">
        <v>30111</v>
      </c>
      <c r="B109" s="136" t="s">
        <v>53</v>
      </c>
      <c r="C109" s="218"/>
      <c r="D109" s="90"/>
      <c r="E109" s="91"/>
      <c r="F109" s="108" t="str">
        <f t="shared" si="2"/>
        <v>-</v>
      </c>
      <c r="G109" s="25"/>
      <c r="H109" s="25"/>
    </row>
    <row r="110" spans="1:8" x14ac:dyDescent="0.2">
      <c r="A110" s="135">
        <v>30112</v>
      </c>
      <c r="B110" s="136" t="s">
        <v>53</v>
      </c>
      <c r="C110" s="218"/>
      <c r="D110" s="90"/>
      <c r="E110" s="91"/>
      <c r="F110" s="108" t="str">
        <f t="shared" si="2"/>
        <v>-</v>
      </c>
      <c r="G110" s="25"/>
      <c r="H110" s="25"/>
    </row>
    <row r="111" spans="1:8" x14ac:dyDescent="0.2">
      <c r="A111" s="62" t="s">
        <v>54</v>
      </c>
      <c r="B111" s="63"/>
      <c r="C111" s="58" t="s">
        <v>37</v>
      </c>
      <c r="D111" s="59" t="str">
        <f>IF(Units="US CUSTOMARY"," SQYD","m2")</f>
        <v xml:space="preserve"> SQYD</v>
      </c>
      <c r="E111" s="64"/>
      <c r="F111" s="61" t="s">
        <v>38</v>
      </c>
      <c r="G111" s="25"/>
      <c r="H111" s="25"/>
    </row>
    <row r="112" spans="1:8" x14ac:dyDescent="0.2">
      <c r="A112" s="87" t="s">
        <v>55</v>
      </c>
      <c r="B112" s="88" t="s">
        <v>56</v>
      </c>
      <c r="C112" s="218">
        <f>IF(Units="US Customary", 0.3, 0.36)</f>
        <v>0.3</v>
      </c>
      <c r="D112" s="90"/>
      <c r="E112" s="91"/>
      <c r="F112" s="108" t="str">
        <f>IF(ISNUMBER(D112),+C$112*D112, "-")</f>
        <v>-</v>
      </c>
      <c r="G112" s="25"/>
      <c r="H112" s="25"/>
    </row>
    <row r="113" spans="1:8" x14ac:dyDescent="0.2">
      <c r="A113" s="87" t="s">
        <v>57</v>
      </c>
      <c r="B113" s="88" t="s">
        <v>58</v>
      </c>
      <c r="C113" s="218"/>
      <c r="D113" s="90"/>
      <c r="E113" s="91"/>
      <c r="F113" s="108" t="str">
        <f>IF(ISNUMBER(D113),+C$112*D113, "-")</f>
        <v>-</v>
      </c>
      <c r="G113" s="25"/>
      <c r="H113" s="25"/>
    </row>
    <row r="114" spans="1:8" x14ac:dyDescent="0.2">
      <c r="A114" s="62" t="s">
        <v>59</v>
      </c>
      <c r="B114" s="65"/>
      <c r="C114" s="58" t="s">
        <v>37</v>
      </c>
      <c r="D114" s="59" t="str">
        <f>IF(Units="US CUSTOMARY"," SQYD","m2")</f>
        <v xml:space="preserve"> SQYD</v>
      </c>
      <c r="E114" s="64"/>
      <c r="F114" s="61" t="s">
        <v>38</v>
      </c>
      <c r="G114" s="25"/>
      <c r="H114" s="25"/>
    </row>
    <row r="115" spans="1:8" ht="12.75" customHeight="1" x14ac:dyDescent="0.2">
      <c r="A115" s="87" t="s">
        <v>60</v>
      </c>
      <c r="B115" s="92" t="s">
        <v>61</v>
      </c>
      <c r="C115" s="217">
        <f>IF(Units="US Customary", 0.3, 0.36)</f>
        <v>0.3</v>
      </c>
      <c r="D115" s="90"/>
      <c r="E115" s="91"/>
      <c r="F115" s="108" t="str">
        <f>IF(ISNUMBER(D115),+C$115*D115, "-")</f>
        <v>-</v>
      </c>
      <c r="G115" s="73"/>
      <c r="H115" s="25"/>
    </row>
    <row r="116" spans="1:8" ht="12.75" customHeight="1" x14ac:dyDescent="0.2">
      <c r="A116" s="87" t="s">
        <v>62</v>
      </c>
      <c r="B116" s="92" t="s">
        <v>63</v>
      </c>
      <c r="C116" s="218"/>
      <c r="D116" s="90"/>
      <c r="E116" s="91"/>
      <c r="F116" s="108" t="str">
        <f t="shared" ref="F116:F118" si="3">IF(ISNUMBER(D116),+C$115*D116, "-")</f>
        <v>-</v>
      </c>
      <c r="G116" s="73"/>
      <c r="H116" s="25"/>
    </row>
    <row r="117" spans="1:8" ht="12.75" customHeight="1" x14ac:dyDescent="0.2">
      <c r="A117" s="87" t="s">
        <v>64</v>
      </c>
      <c r="B117" s="92" t="s">
        <v>65</v>
      </c>
      <c r="C117" s="218"/>
      <c r="D117" s="90"/>
      <c r="E117" s="91"/>
      <c r="F117" s="108" t="str">
        <f t="shared" si="3"/>
        <v>-</v>
      </c>
      <c r="G117" s="73"/>
      <c r="H117" s="25"/>
    </row>
    <row r="118" spans="1:8" ht="12.75" customHeight="1" x14ac:dyDescent="0.2">
      <c r="A118" s="93" t="s">
        <v>66</v>
      </c>
      <c r="B118" s="94" t="s">
        <v>67</v>
      </c>
      <c r="C118" s="218"/>
      <c r="D118" s="95"/>
      <c r="E118" s="96"/>
      <c r="F118" s="108" t="str">
        <f t="shared" si="3"/>
        <v>-</v>
      </c>
      <c r="G118" s="73"/>
      <c r="H118" s="25"/>
    </row>
    <row r="119" spans="1:8" x14ac:dyDescent="0.2">
      <c r="A119" s="67" t="str">
        <f>IF(FP="FP-24","Section 308 - Emulsified Asphalt-Treated Base Course","Section 309 - Emulsified Asphalt-Treated Base Course")</f>
        <v>Section 308 - Emulsified Asphalt-Treated Base Course</v>
      </c>
      <c r="B119" s="63"/>
      <c r="C119" s="58" t="s">
        <v>37</v>
      </c>
      <c r="D119" s="59" t="str">
        <f>IF(Units="US CUSTOMARY"," Tons"," tonnes")</f>
        <v xml:space="preserve"> Tons</v>
      </c>
      <c r="E119" s="64"/>
      <c r="F119" s="66" t="s">
        <v>38</v>
      </c>
      <c r="G119" s="25"/>
      <c r="H119" s="25"/>
    </row>
    <row r="120" spans="1:8" x14ac:dyDescent="0.2">
      <c r="A120" s="97" t="str">
        <f>IF(FP="FP-24","30801","30901")</f>
        <v>30801</v>
      </c>
      <c r="B120" s="89" t="str">
        <f>IF(FP="FP-24","Emulsified asphalt-treated aggregate base","Emulsified asphalt-treated aggregate base")</f>
        <v>Emulsified asphalt-treated aggregate base</v>
      </c>
      <c r="C120" s="217">
        <f>IF(Units="US Customary", 0.7, 0.77)</f>
        <v>0.7</v>
      </c>
      <c r="D120" s="90"/>
      <c r="E120" s="91"/>
      <c r="F120" s="108" t="str">
        <f>IF(ISNUMBER(D120),+C$120*D120, "-")</f>
        <v>-</v>
      </c>
      <c r="G120" s="25"/>
      <c r="H120" s="25"/>
    </row>
    <row r="121" spans="1:8" ht="12.75" customHeight="1" x14ac:dyDescent="0.2">
      <c r="A121" s="97" t="str">
        <f>IF(FP="FP-24","30802","30902")</f>
        <v>30802</v>
      </c>
      <c r="B121" s="89" t="str">
        <f>IF(FP="FP-24","Emulsified asphalt-treated aggregate base*","Emulsified asphalt-treated aggregate base*")</f>
        <v>Emulsified asphalt-treated aggregate base*</v>
      </c>
      <c r="C121" s="218"/>
      <c r="D121" s="90"/>
      <c r="E121" s="91"/>
      <c r="F121" s="108" t="str">
        <f t="shared" ref="F121:F122" si="4">IF(ISNUMBER(D121),+C$120*D121, "-")</f>
        <v>-</v>
      </c>
      <c r="G121" s="25"/>
      <c r="H121" s="25"/>
    </row>
    <row r="122" spans="1:8" ht="12.75" customHeight="1" x14ac:dyDescent="0.2">
      <c r="A122" s="97" t="str">
        <f>IF(FP="FP-24","30803","30903")</f>
        <v>30803</v>
      </c>
      <c r="B122" s="89" t="str">
        <f>IF(FP="FP-24","Emulsified asphalt-treated aggregate base*","Emulsified asphalt-treated aggregate base*")</f>
        <v>Emulsified asphalt-treated aggregate base*</v>
      </c>
      <c r="C122" s="218"/>
      <c r="D122" s="90"/>
      <c r="E122" s="91"/>
      <c r="F122" s="108" t="str">
        <f t="shared" si="4"/>
        <v>-</v>
      </c>
      <c r="G122" s="25"/>
      <c r="H122" s="25"/>
    </row>
    <row r="123" spans="1:8" x14ac:dyDescent="0.2">
      <c r="A123" s="67" t="s">
        <v>68</v>
      </c>
      <c r="B123" s="68"/>
      <c r="C123" s="58" t="s">
        <v>37</v>
      </c>
      <c r="D123" s="77" t="str">
        <f>IF(Units="US CUSTOMARY"," SQYD","m2")</f>
        <v xml:space="preserve"> SQYD</v>
      </c>
      <c r="E123" s="64"/>
      <c r="F123" s="66" t="s">
        <v>38</v>
      </c>
      <c r="G123" s="78"/>
      <c r="H123" s="25"/>
    </row>
    <row r="124" spans="1:8" ht="12.75" customHeight="1" x14ac:dyDescent="0.2">
      <c r="A124" s="97" t="s">
        <v>69</v>
      </c>
      <c r="B124" s="89" t="s">
        <v>70</v>
      </c>
      <c r="C124" s="218">
        <f>IF(Units="US Customary", 0.15, 0.18)</f>
        <v>0.15</v>
      </c>
      <c r="D124" s="90"/>
      <c r="E124" s="91"/>
      <c r="F124" s="108" t="str">
        <f>IF(ISNUMBER(D124),+C$124*D124, "-")</f>
        <v>-</v>
      </c>
      <c r="G124" s="25"/>
      <c r="H124" s="25"/>
    </row>
    <row r="125" spans="1:8" ht="12.75" customHeight="1" x14ac:dyDescent="0.2">
      <c r="A125" s="100" t="s">
        <v>71</v>
      </c>
      <c r="B125" s="192" t="s">
        <v>72</v>
      </c>
      <c r="C125" s="218"/>
      <c r="D125" s="95"/>
      <c r="E125" s="96"/>
      <c r="F125" s="108" t="str">
        <f>IF(ISNUMBER(D125),+C$124*D125, "-")</f>
        <v>-</v>
      </c>
      <c r="G125" s="25"/>
      <c r="H125" s="25"/>
    </row>
    <row r="126" spans="1:8" x14ac:dyDescent="0.2">
      <c r="A126" s="67" t="s">
        <v>73</v>
      </c>
      <c r="B126" s="68"/>
      <c r="C126" s="58" t="s">
        <v>37</v>
      </c>
      <c r="D126" s="77" t="str">
        <f>IF(Units="US CUSTOMARY"," Tons"," tonnes")</f>
        <v xml:space="preserve"> Tons</v>
      </c>
      <c r="E126" s="64"/>
      <c r="F126" s="66" t="s">
        <v>38</v>
      </c>
      <c r="G126" s="25"/>
      <c r="H126" s="25"/>
    </row>
    <row r="127" spans="1:8" ht="12.75" customHeight="1" x14ac:dyDescent="0.2">
      <c r="A127" s="97" t="s">
        <v>74</v>
      </c>
      <c r="B127" s="89" t="s">
        <v>75</v>
      </c>
      <c r="C127" s="219">
        <f>IF(Units="US Customary", 0.7, 0.77)</f>
        <v>0.7</v>
      </c>
      <c r="D127" s="90"/>
      <c r="E127" s="91"/>
      <c r="F127" s="108" t="str">
        <f>IF(ISNUMBER(D127),+C$127*D127, "-")</f>
        <v>-</v>
      </c>
      <c r="G127" s="78"/>
      <c r="H127" s="25"/>
    </row>
    <row r="128" spans="1:8" ht="12.75" customHeight="1" x14ac:dyDescent="0.2">
      <c r="A128" s="100" t="s">
        <v>76</v>
      </c>
      <c r="B128" s="192" t="s">
        <v>75</v>
      </c>
      <c r="C128" s="219"/>
      <c r="D128" s="95"/>
      <c r="E128" s="96"/>
      <c r="F128" s="108" t="str">
        <f t="shared" ref="F128:F129" si="5">IF(ISNUMBER(D128),+C$127*D128, "-")</f>
        <v>-</v>
      </c>
      <c r="G128" s="25"/>
      <c r="H128" s="25"/>
    </row>
    <row r="129" spans="1:8" ht="12.75" customHeight="1" x14ac:dyDescent="0.2">
      <c r="A129" s="97" t="s">
        <v>77</v>
      </c>
      <c r="B129" s="89" t="s">
        <v>78</v>
      </c>
      <c r="C129" s="220"/>
      <c r="D129" s="90"/>
      <c r="E129" s="91"/>
      <c r="F129" s="108" t="str">
        <f t="shared" si="5"/>
        <v>-</v>
      </c>
      <c r="G129" s="25"/>
      <c r="H129" s="25"/>
    </row>
    <row r="130" spans="1:8" x14ac:dyDescent="0.2">
      <c r="A130" s="67" t="s">
        <v>79</v>
      </c>
      <c r="B130" s="68"/>
      <c r="C130" s="76" t="s">
        <v>37</v>
      </c>
      <c r="D130" s="77" t="str">
        <f>IF(Units="US CUSTOMARY"," Tons"," tonnes")</f>
        <v xml:space="preserve"> Tons</v>
      </c>
      <c r="E130" s="71"/>
      <c r="F130" s="75" t="s">
        <v>38</v>
      </c>
      <c r="G130" s="25"/>
      <c r="H130" s="25"/>
    </row>
    <row r="131" spans="1:8" ht="12.75" customHeight="1" x14ac:dyDescent="0.2">
      <c r="A131" s="97" t="s">
        <v>80</v>
      </c>
      <c r="B131" s="89" t="s">
        <v>81</v>
      </c>
      <c r="C131" s="219">
        <f>IF(Units="US Customary",2.4, 2.65)</f>
        <v>2.4</v>
      </c>
      <c r="D131" s="98"/>
      <c r="E131" s="99"/>
      <c r="F131" s="137" t="str">
        <f>IF(ISNUMBER(D131),+C$131*D131, "-")</f>
        <v>-</v>
      </c>
      <c r="G131" s="78"/>
      <c r="H131" s="25"/>
    </row>
    <row r="132" spans="1:8" ht="22.5" x14ac:dyDescent="0.2">
      <c r="A132" s="100" t="s">
        <v>82</v>
      </c>
      <c r="B132" s="101" t="s">
        <v>83</v>
      </c>
      <c r="C132" s="219"/>
      <c r="D132" s="102"/>
      <c r="E132" s="103"/>
      <c r="F132" s="137" t="str">
        <f>IF(ISNUMBER(D132),+C$131*D132, "-")</f>
        <v>-</v>
      </c>
      <c r="G132" s="25"/>
      <c r="H132" s="25"/>
    </row>
    <row r="133" spans="1:8" ht="28.5" customHeight="1" x14ac:dyDescent="0.25">
      <c r="A133" s="213" t="s">
        <v>84</v>
      </c>
      <c r="B133" s="214"/>
      <c r="C133" s="82" t="s">
        <v>37</v>
      </c>
      <c r="D133" s="83" t="str">
        <f>IF(Units="US CUSTOMARY"," Tons"," tonnes")</f>
        <v xml:space="preserve"> Tons</v>
      </c>
      <c r="E133" s="84"/>
      <c r="F133" s="85" t="s">
        <v>38</v>
      </c>
      <c r="G133" s="25"/>
      <c r="H133" s="25"/>
    </row>
    <row r="134" spans="1:8" ht="12.75" customHeight="1" x14ac:dyDescent="0.2">
      <c r="A134" s="97" t="s">
        <v>85</v>
      </c>
      <c r="B134" s="89" t="s">
        <v>86</v>
      </c>
      <c r="C134" s="219">
        <f>IF(Units="US Customary",2.4, 2.65)</f>
        <v>2.4</v>
      </c>
      <c r="D134" s="98"/>
      <c r="E134" s="99"/>
      <c r="F134" s="137" t="str">
        <f>IF(ISNUMBER(D134),+C$134*D134, "-")</f>
        <v>-</v>
      </c>
      <c r="G134" s="78"/>
      <c r="H134" s="25"/>
    </row>
    <row r="135" spans="1:8" ht="23.25" customHeight="1" x14ac:dyDescent="0.2">
      <c r="A135" s="100" t="s">
        <v>87</v>
      </c>
      <c r="B135" s="101" t="s">
        <v>88</v>
      </c>
      <c r="C135" s="219"/>
      <c r="D135" s="102"/>
      <c r="E135" s="103"/>
      <c r="F135" s="137" t="str">
        <f>IF(ISNUMBER(D135),+C$134*D135, "-")</f>
        <v>-</v>
      </c>
      <c r="G135" s="25"/>
      <c r="H135" s="25"/>
    </row>
    <row r="136" spans="1:8" ht="15" x14ac:dyDescent="0.2">
      <c r="A136" s="221" t="str">
        <f>IF(FP="FP-24","Section 405 - Open-Graded Asphalt Friction","Section 405 - Open-Graded Asphalt Friction")</f>
        <v>Section 405 - Open-Graded Asphalt Friction</v>
      </c>
      <c r="B136" s="222"/>
      <c r="C136" s="76" t="s">
        <v>37</v>
      </c>
      <c r="D136" s="77" t="str">
        <f>IF(Units="US CUSTOMARY"," Tons"," tonnes")</f>
        <v xml:space="preserve"> Tons</v>
      </c>
      <c r="E136" s="71"/>
      <c r="F136" s="75" t="s">
        <v>38</v>
      </c>
      <c r="G136" s="48"/>
      <c r="H136" s="48"/>
    </row>
    <row r="137" spans="1:8" ht="15" x14ac:dyDescent="0.2">
      <c r="A137" s="97" t="str">
        <f>IF(FP="FP-03","40501","40501")</f>
        <v>40501</v>
      </c>
      <c r="B137" s="70" t="str">
        <f>IF(FP="FP-03","Continuous cold recylced aphalt base","Open-graded asphalt friction course")</f>
        <v>Open-graded asphalt friction course</v>
      </c>
      <c r="C137" s="142">
        <f>IF(Units="US Customary",2.4, 2.65)</f>
        <v>2.4</v>
      </c>
      <c r="D137" s="98"/>
      <c r="E137" s="99"/>
      <c r="F137" s="137" t="str">
        <f>IF(ISNUMBER(D137),+C$137*D137, "-")</f>
        <v>-</v>
      </c>
      <c r="G137" s="80"/>
      <c r="H137" s="17"/>
    </row>
    <row r="138" spans="1:8" ht="15" x14ac:dyDescent="0.25">
      <c r="A138" s="189" t="s">
        <v>104</v>
      </c>
      <c r="B138" s="104"/>
      <c r="C138" s="138"/>
      <c r="D138" s="147"/>
      <c r="E138" s="105"/>
      <c r="F138" s="139"/>
      <c r="G138" s="44"/>
      <c r="H138" s="44"/>
    </row>
    <row r="139" spans="1:8" ht="15" x14ac:dyDescent="0.25">
      <c r="A139" s="189"/>
      <c r="B139" s="81"/>
      <c r="C139" s="140"/>
      <c r="D139" s="148"/>
      <c r="E139" s="106"/>
      <c r="F139" s="141"/>
      <c r="G139" s="44"/>
      <c r="H139" s="44"/>
    </row>
    <row r="140" spans="1:8" ht="15" x14ac:dyDescent="0.25">
      <c r="A140" s="189"/>
      <c r="B140" s="81"/>
      <c r="C140" s="140"/>
      <c r="D140" s="148"/>
      <c r="E140" s="106"/>
      <c r="F140" s="141"/>
      <c r="G140" s="44"/>
      <c r="H140" s="44"/>
    </row>
    <row r="141" spans="1:8" ht="15" x14ac:dyDescent="0.25">
      <c r="A141" s="189"/>
      <c r="B141" s="81"/>
      <c r="C141" s="140"/>
      <c r="D141" s="148"/>
      <c r="E141" s="106"/>
      <c r="F141" s="141"/>
      <c r="G141" s="44"/>
      <c r="H141" s="44"/>
    </row>
    <row r="142" spans="1:8" ht="15" x14ac:dyDescent="0.25">
      <c r="A142" s="189"/>
      <c r="B142" s="81"/>
      <c r="C142" s="140"/>
      <c r="D142" s="148"/>
      <c r="E142" s="106"/>
      <c r="F142" s="141"/>
      <c r="G142" s="44"/>
      <c r="H142" s="44"/>
    </row>
    <row r="143" spans="1:8" ht="15" x14ac:dyDescent="0.25">
      <c r="A143" s="189"/>
      <c r="B143" s="81"/>
      <c r="C143" s="140"/>
      <c r="D143" s="148"/>
      <c r="E143" s="106"/>
      <c r="F143" s="141"/>
      <c r="G143" s="44"/>
      <c r="H143" s="44"/>
    </row>
    <row r="144" spans="1:8" ht="15" x14ac:dyDescent="0.25">
      <c r="A144" s="189"/>
      <c r="B144" s="81"/>
      <c r="C144" s="140"/>
      <c r="D144" s="148"/>
      <c r="E144" s="106"/>
      <c r="F144" s="141"/>
      <c r="G144" s="44"/>
      <c r="H144" s="44"/>
    </row>
    <row r="145" spans="1:8" ht="15" x14ac:dyDescent="0.25">
      <c r="A145" s="189"/>
      <c r="B145" s="81"/>
      <c r="C145" s="140"/>
      <c r="D145" s="148"/>
      <c r="E145" s="106"/>
      <c r="F145" s="141"/>
      <c r="G145" s="44"/>
      <c r="H145" s="44"/>
    </row>
    <row r="146" spans="1:8" ht="15" x14ac:dyDescent="0.25">
      <c r="A146" s="189"/>
      <c r="B146" s="81"/>
      <c r="C146" s="140"/>
      <c r="D146" s="148"/>
      <c r="E146" s="106"/>
      <c r="F146" s="141"/>
      <c r="G146" s="44"/>
      <c r="H146" s="44"/>
    </row>
    <row r="147" spans="1:8" ht="15" x14ac:dyDescent="0.25">
      <c r="A147" s="189"/>
      <c r="B147" s="81"/>
      <c r="C147" s="140"/>
      <c r="D147" s="148"/>
      <c r="E147" s="106"/>
      <c r="F147" s="141"/>
      <c r="G147" s="44"/>
      <c r="H147" s="44"/>
    </row>
    <row r="148" spans="1:8" ht="15" x14ac:dyDescent="0.25">
      <c r="A148" s="189"/>
      <c r="B148" s="81"/>
      <c r="C148" s="140"/>
      <c r="D148" s="148"/>
      <c r="E148" s="106"/>
      <c r="F148" s="141"/>
      <c r="G148" s="44"/>
      <c r="H148" s="44"/>
    </row>
    <row r="149" spans="1:8" ht="15" x14ac:dyDescent="0.25">
      <c r="A149" s="189"/>
      <c r="B149" s="81"/>
      <c r="C149" s="140"/>
      <c r="D149" s="148"/>
      <c r="E149" s="106"/>
      <c r="F149" s="141"/>
      <c r="G149" s="44"/>
      <c r="H149" s="44"/>
    </row>
    <row r="150" spans="1:8" ht="2.1" customHeight="1" x14ac:dyDescent="0.25">
      <c r="A150" s="189"/>
      <c r="B150" s="81"/>
      <c r="C150" s="140"/>
      <c r="D150" s="148"/>
      <c r="E150" s="106"/>
      <c r="F150" s="141"/>
      <c r="G150" s="44"/>
      <c r="H150" s="44"/>
    </row>
    <row r="151" spans="1:8" ht="2.1" customHeight="1" x14ac:dyDescent="0.25">
      <c r="A151" s="189"/>
      <c r="B151" s="81"/>
      <c r="C151" s="140"/>
      <c r="D151" s="148"/>
      <c r="E151" s="106"/>
      <c r="F151" s="141"/>
      <c r="G151" s="44"/>
      <c r="H151" s="44"/>
    </row>
    <row r="152" spans="1:8" ht="18" x14ac:dyDescent="0.25">
      <c r="A152" s="208" t="s">
        <v>34</v>
      </c>
      <c r="B152" s="208"/>
      <c r="C152" s="208"/>
      <c r="D152" s="208"/>
      <c r="E152" s="208"/>
      <c r="F152" s="208"/>
      <c r="G152" s="208"/>
      <c r="H152" s="208"/>
    </row>
    <row r="153" spans="1:8" x14ac:dyDescent="0.2">
      <c r="A153" s="7"/>
      <c r="B153" s="7"/>
      <c r="C153" s="11" t="s">
        <v>1</v>
      </c>
      <c r="D153" s="12" t="str">
        <f>+Sheet1!D2</f>
        <v>FP-24</v>
      </c>
      <c r="E153" s="8"/>
      <c r="F153" s="9"/>
      <c r="G153" s="9"/>
      <c r="H153" s="9"/>
    </row>
    <row r="154" spans="1:8" x14ac:dyDescent="0.2">
      <c r="A154" s="7"/>
      <c r="B154" s="7"/>
      <c r="C154" s="7"/>
      <c r="D154" s="10"/>
      <c r="E154" s="8"/>
      <c r="F154" s="9"/>
      <c r="G154" s="9"/>
      <c r="H154" s="9"/>
    </row>
    <row r="155" spans="1:8" x14ac:dyDescent="0.2">
      <c r="A155" s="11" t="s">
        <v>3</v>
      </c>
      <c r="B155" s="206" t="str">
        <f>+B4</f>
        <v>AZ Heidi Test(1)</v>
      </c>
      <c r="C155" s="206"/>
      <c r="D155" s="12"/>
      <c r="E155" s="12"/>
      <c r="F155" s="13"/>
      <c r="G155" s="14" t="s">
        <v>5</v>
      </c>
      <c r="H155" s="15">
        <f ca="1" xml:space="preserve"> TODAY()</f>
        <v>45532</v>
      </c>
    </row>
    <row r="156" spans="1:8" ht="5.25" customHeight="1" x14ac:dyDescent="0.2">
      <c r="A156" s="11"/>
      <c r="B156" s="206"/>
      <c r="C156" s="206"/>
      <c r="D156" s="12"/>
      <c r="E156" s="12"/>
      <c r="F156" s="13"/>
      <c r="G156" s="14"/>
      <c r="H156" s="15"/>
    </row>
    <row r="157" spans="1:8" x14ac:dyDescent="0.2">
      <c r="A157" s="11" t="s">
        <v>6</v>
      </c>
      <c r="B157" s="212" t="str">
        <f>+B6</f>
        <v>Heidi National Park</v>
      </c>
      <c r="C157" s="212"/>
      <c r="D157" s="212"/>
      <c r="E157" s="212"/>
      <c r="F157" s="212"/>
      <c r="G157" s="14" t="str">
        <f>+G6</f>
        <v xml:space="preserve">Schedule Type: </v>
      </c>
      <c r="H157" s="16" t="str">
        <f>+H6</f>
        <v>Option</v>
      </c>
    </row>
    <row r="158" spans="1:8" x14ac:dyDescent="0.2">
      <c r="A158" s="11"/>
      <c r="B158" s="206"/>
      <c r="C158" s="206"/>
      <c r="D158" s="206"/>
      <c r="E158" s="206"/>
      <c r="F158" s="206"/>
      <c r="G158" s="14" t="str">
        <f>+G8</f>
        <v>Schedule Letter:</v>
      </c>
      <c r="H158" s="16" t="str">
        <f>+H8</f>
        <v>Y</v>
      </c>
    </row>
    <row r="159" spans="1:8" x14ac:dyDescent="0.2">
      <c r="A159" s="7"/>
      <c r="B159" s="7"/>
      <c r="C159" s="7"/>
      <c r="D159" s="8"/>
      <c r="E159" s="8"/>
      <c r="F159" s="9"/>
      <c r="G159" s="14" t="s">
        <v>12</v>
      </c>
      <c r="H159" s="13" t="str">
        <f>+Units</f>
        <v>US CUSTOMARY</v>
      </c>
    </row>
    <row r="160" spans="1:8" ht="6.75" customHeight="1" thickBot="1" x14ac:dyDescent="0.25">
      <c r="A160" s="7"/>
      <c r="B160" s="7"/>
      <c r="C160" s="7"/>
      <c r="D160" s="8"/>
      <c r="E160" s="8"/>
      <c r="F160" s="9"/>
      <c r="G160" s="14"/>
      <c r="H160" s="13"/>
    </row>
    <row r="161" spans="1:8" ht="19.5" customHeight="1" thickBot="1" x14ac:dyDescent="0.25">
      <c r="A161" s="129" t="s">
        <v>90</v>
      </c>
      <c r="B161" s="130"/>
      <c r="C161" s="130"/>
      <c r="D161" s="130"/>
      <c r="E161" s="130"/>
      <c r="F161" s="130"/>
      <c r="G161" s="130"/>
      <c r="H161" s="131"/>
    </row>
    <row r="162" spans="1:8" ht="5.25" customHeight="1" x14ac:dyDescent="0.2">
      <c r="A162" s="17"/>
      <c r="B162" s="43"/>
      <c r="C162" s="43"/>
      <c r="D162" s="44"/>
      <c r="E162" s="45"/>
      <c r="F162" s="44"/>
      <c r="G162" s="44"/>
      <c r="H162" s="44"/>
    </row>
    <row r="163" spans="1:8" ht="12.75" customHeight="1" x14ac:dyDescent="0.2">
      <c r="A163" s="221" t="str">
        <f>IF(FP="FP-24","Not applicable","Not applicable")</f>
        <v>Not applicable</v>
      </c>
      <c r="B163" s="225"/>
      <c r="C163" s="76" t="s">
        <v>37</v>
      </c>
      <c r="D163" s="77"/>
      <c r="E163" s="71"/>
      <c r="F163" s="75" t="s">
        <v>38</v>
      </c>
      <c r="G163" s="44"/>
      <c r="H163" s="44"/>
    </row>
    <row r="164" spans="1:8" ht="12.75" customHeight="1" x14ac:dyDescent="0.2">
      <c r="A164" s="69"/>
      <c r="B164" s="70"/>
      <c r="C164" s="142"/>
      <c r="D164" s="74"/>
      <c r="E164" s="72"/>
      <c r="F164" s="143" t="str">
        <f>IF(ISNUMBER(D164),+C$164*D164, "-")</f>
        <v>-</v>
      </c>
      <c r="G164" s="79"/>
      <c r="H164" s="44"/>
    </row>
    <row r="165" spans="1:8" ht="12.75" customHeight="1" x14ac:dyDescent="0.2">
      <c r="A165" s="221" t="str">
        <f>IF(FP="FP-24","Not applicable","Not applicable")</f>
        <v>Not applicable</v>
      </c>
      <c r="B165" s="226"/>
      <c r="C165" s="82" t="s">
        <v>37</v>
      </c>
      <c r="D165" s="83"/>
      <c r="E165" s="84"/>
      <c r="F165" s="85" t="s">
        <v>38</v>
      </c>
      <c r="G165" s="79"/>
      <c r="H165" s="44"/>
    </row>
    <row r="166" spans="1:8" ht="12.75" customHeight="1" x14ac:dyDescent="0.2">
      <c r="A166" s="69"/>
      <c r="B166" s="70"/>
      <c r="C166" s="142"/>
      <c r="D166" s="74"/>
      <c r="E166" s="72"/>
      <c r="F166" s="143" t="str">
        <f>IF(ISNUMBER(D166),+C$166*D166, "-")</f>
        <v>-</v>
      </c>
      <c r="G166" s="79"/>
      <c r="H166" s="48"/>
    </row>
    <row r="167" spans="1:8" ht="12.75" customHeight="1" x14ac:dyDescent="0.2">
      <c r="A167" s="67" t="str">
        <f>IF(FP="FP-24","Not applicable","Not applicable")</f>
        <v>Not applicable</v>
      </c>
      <c r="B167" s="68"/>
      <c r="C167" s="76" t="s">
        <v>37</v>
      </c>
      <c r="D167" s="77"/>
      <c r="E167" s="71"/>
      <c r="F167" s="75" t="s">
        <v>38</v>
      </c>
      <c r="G167" s="49"/>
      <c r="H167" s="50"/>
    </row>
    <row r="168" spans="1:8" x14ac:dyDescent="0.2">
      <c r="A168" s="97"/>
      <c r="B168" s="89"/>
      <c r="C168" s="219"/>
      <c r="D168" s="98"/>
      <c r="E168" s="99"/>
      <c r="F168" s="137" t="str">
        <f>IF(ISNUMBER(D168),+C$168*D168, "-")</f>
        <v>-</v>
      </c>
      <c r="G168" s="49"/>
      <c r="H168" s="50"/>
    </row>
    <row r="169" spans="1:8" x14ac:dyDescent="0.2">
      <c r="A169" s="97"/>
      <c r="B169" s="89"/>
      <c r="C169" s="220"/>
      <c r="D169" s="98"/>
      <c r="E169" s="99"/>
      <c r="F169" s="137" t="str">
        <f>IF(ISNUMBER(D169),+C$168*D169, "-")</f>
        <v>-</v>
      </c>
      <c r="G169" s="49"/>
      <c r="H169" s="50"/>
    </row>
    <row r="170" spans="1:8" ht="15" x14ac:dyDescent="0.25">
      <c r="A170" s="69"/>
      <c r="B170" s="70"/>
      <c r="C170" s="140"/>
      <c r="D170" s="195"/>
      <c r="E170" s="193"/>
      <c r="F170" s="194"/>
      <c r="G170" s="49"/>
      <c r="H170" s="50"/>
    </row>
    <row r="171" spans="1:8" ht="15" x14ac:dyDescent="0.25">
      <c r="A171" s="69"/>
      <c r="B171" s="70"/>
      <c r="C171" s="140"/>
      <c r="D171" s="195"/>
      <c r="E171" s="193"/>
      <c r="F171" s="194"/>
      <c r="G171" s="49"/>
      <c r="H171" s="50"/>
    </row>
    <row r="172" spans="1:8" x14ac:dyDescent="0.2">
      <c r="A172" s="46"/>
      <c r="B172" s="46"/>
      <c r="C172" s="46"/>
      <c r="D172" s="47"/>
      <c r="E172" s="47"/>
      <c r="F172" s="48"/>
      <c r="G172" s="48"/>
      <c r="H172" s="48"/>
    </row>
    <row r="173" spans="1:8" x14ac:dyDescent="0.2">
      <c r="A173" s="46"/>
      <c r="B173" s="46"/>
      <c r="C173" s="46"/>
      <c r="D173" s="47"/>
      <c r="E173" s="47"/>
      <c r="F173" s="48"/>
      <c r="G173" s="48"/>
      <c r="H173" s="48"/>
    </row>
    <row r="174" spans="1:8" x14ac:dyDescent="0.2">
      <c r="A174" s="107"/>
      <c r="B174" s="114"/>
      <c r="C174" s="115"/>
      <c r="D174" s="116" t="s">
        <v>91</v>
      </c>
      <c r="E174" s="115"/>
      <c r="F174" s="117">
        <f>SUM(F90:F137)+SUM(F163:F169)</f>
        <v>0</v>
      </c>
      <c r="G174" s="17"/>
      <c r="H174" s="17"/>
    </row>
    <row r="175" spans="1:8" ht="4.5" customHeight="1" x14ac:dyDescent="0.2">
      <c r="A175" s="17"/>
      <c r="B175" s="118"/>
      <c r="C175" s="43"/>
      <c r="D175" s="45"/>
      <c r="E175" s="45"/>
      <c r="F175" s="119"/>
      <c r="G175" s="44"/>
      <c r="H175" s="44"/>
    </row>
    <row r="176" spans="1:8" x14ac:dyDescent="0.2">
      <c r="A176" s="17"/>
      <c r="B176" s="120"/>
      <c r="C176" s="46"/>
      <c r="D176" s="109" t="s">
        <v>92</v>
      </c>
      <c r="E176" s="51"/>
      <c r="F176" s="149"/>
      <c r="G176" s="44"/>
      <c r="H176" s="44"/>
    </row>
    <row r="177" spans="1:8" ht="7.5" customHeight="1" x14ac:dyDescent="0.2">
      <c r="A177" s="17"/>
      <c r="B177" s="121"/>
      <c r="C177" s="46"/>
      <c r="D177" s="113"/>
      <c r="E177" s="51"/>
      <c r="F177" s="119"/>
      <c r="G177" s="44"/>
      <c r="H177" s="44"/>
    </row>
    <row r="178" spans="1:8" x14ac:dyDescent="0.2">
      <c r="A178" s="17"/>
      <c r="B178" s="121"/>
      <c r="C178" s="46"/>
      <c r="D178" s="109" t="s">
        <v>93</v>
      </c>
      <c r="E178" s="51"/>
      <c r="F178" s="122" t="str">
        <f>IF(F176&lt;&gt;"",F176*1.6,"-")</f>
        <v>-</v>
      </c>
      <c r="G178" s="44"/>
      <c r="H178" s="44"/>
    </row>
    <row r="179" spans="1:8" ht="5.25" customHeight="1" x14ac:dyDescent="0.2">
      <c r="A179" s="17"/>
      <c r="B179" s="121"/>
      <c r="C179" s="46"/>
      <c r="D179" s="113"/>
      <c r="E179" s="51"/>
      <c r="F179" s="119"/>
      <c r="G179" s="44"/>
      <c r="H179" s="44"/>
    </row>
    <row r="180" spans="1:8" x14ac:dyDescent="0.2">
      <c r="A180" s="46"/>
      <c r="B180" s="121"/>
      <c r="C180" s="46"/>
      <c r="D180" s="110" t="s">
        <v>94</v>
      </c>
      <c r="E180" s="47"/>
      <c r="F180" s="123" t="str">
        <f>IF(F174&lt;&gt;0,(1.6-1.1)*(F174*F176),"-")</f>
        <v>-</v>
      </c>
      <c r="G180" s="48"/>
      <c r="H180" s="48"/>
    </row>
    <row r="181" spans="1:8" ht="7.5" customHeight="1" x14ac:dyDescent="0.2">
      <c r="A181" s="46"/>
      <c r="B181" s="121"/>
      <c r="C181" s="46"/>
      <c r="D181" s="47"/>
      <c r="E181" s="47"/>
      <c r="F181" s="119"/>
      <c r="G181" s="52"/>
      <c r="H181" s="53"/>
    </row>
    <row r="182" spans="1:8" x14ac:dyDescent="0.2">
      <c r="A182" s="46"/>
      <c r="B182" s="121"/>
      <c r="C182" s="46"/>
      <c r="D182" s="110" t="s">
        <v>95</v>
      </c>
      <c r="E182" s="47"/>
      <c r="F182" s="150"/>
      <c r="G182" s="52"/>
      <c r="H182" s="53"/>
    </row>
    <row r="183" spans="1:8" ht="6.75" customHeight="1" x14ac:dyDescent="0.2">
      <c r="A183" s="46"/>
      <c r="B183" s="121"/>
      <c r="C183" s="46"/>
      <c r="D183" s="47"/>
      <c r="E183" s="47"/>
      <c r="F183" s="119"/>
      <c r="G183" s="52"/>
      <c r="H183" s="53"/>
    </row>
    <row r="184" spans="1:8" ht="18.75" customHeight="1" x14ac:dyDescent="0.2">
      <c r="A184" s="46"/>
      <c r="B184" s="124"/>
      <c r="C184" s="125"/>
      <c r="D184" s="126" t="s">
        <v>96</v>
      </c>
      <c r="E184" s="127"/>
      <c r="F184" s="128" t="str">
        <f>IF(F182&lt;&gt;"",(F180*F182)/100,"$0.00")</f>
        <v>$0.00</v>
      </c>
      <c r="G184" s="52"/>
      <c r="H184" s="53"/>
    </row>
    <row r="185" spans="1:8" ht="18.75" customHeight="1" x14ac:dyDescent="0.2">
      <c r="A185" s="46"/>
      <c r="B185" s="46"/>
      <c r="C185" s="46"/>
      <c r="D185" s="111"/>
      <c r="E185" s="47"/>
      <c r="F185" s="112"/>
      <c r="G185" s="52"/>
      <c r="H185" s="53"/>
    </row>
    <row r="186" spans="1:8" ht="18.75" customHeight="1" x14ac:dyDescent="0.2">
      <c r="A186" s="46"/>
      <c r="B186" s="46"/>
      <c r="C186" s="46"/>
      <c r="D186" s="111"/>
      <c r="E186" s="47"/>
      <c r="F186" s="112"/>
      <c r="G186" s="52"/>
      <c r="H186" s="53"/>
    </row>
    <row r="187" spans="1:8" x14ac:dyDescent="0.2">
      <c r="A187" s="46"/>
      <c r="B187" s="46"/>
      <c r="C187" s="46"/>
      <c r="D187" s="47"/>
      <c r="E187" s="47"/>
      <c r="F187" s="48"/>
      <c r="G187" s="52"/>
      <c r="H187" s="53"/>
    </row>
    <row r="188" spans="1:8" ht="6.75" customHeight="1" thickBot="1" x14ac:dyDescent="0.25">
      <c r="A188" s="7"/>
      <c r="B188" s="7"/>
      <c r="C188" s="7"/>
      <c r="D188" s="8"/>
      <c r="E188" s="8"/>
      <c r="F188" s="9"/>
      <c r="G188" s="14"/>
      <c r="H188" s="13"/>
    </row>
    <row r="189" spans="1:8" ht="19.5" customHeight="1" thickBot="1" x14ac:dyDescent="0.25">
      <c r="A189" s="132" t="s">
        <v>97</v>
      </c>
      <c r="B189" s="133"/>
      <c r="C189" s="133"/>
      <c r="D189" s="133"/>
      <c r="E189" s="133"/>
      <c r="F189" s="133"/>
      <c r="G189" s="133"/>
      <c r="H189" s="134"/>
    </row>
    <row r="190" spans="1:8" ht="5.25" customHeight="1" x14ac:dyDescent="0.2">
      <c r="A190" s="17"/>
      <c r="B190" s="43"/>
      <c r="C190" s="43"/>
      <c r="D190" s="44"/>
      <c r="E190" s="45"/>
      <c r="F190" s="44"/>
      <c r="G190" s="44"/>
      <c r="H190" s="44"/>
    </row>
    <row r="191" spans="1:8" x14ac:dyDescent="0.2">
      <c r="A191" s="46"/>
      <c r="B191" s="114"/>
      <c r="C191" s="115"/>
      <c r="D191" s="116" t="s">
        <v>98</v>
      </c>
      <c r="E191" s="115"/>
      <c r="F191" s="151"/>
      <c r="G191" s="52"/>
      <c r="H191" s="53"/>
    </row>
    <row r="192" spans="1:8" x14ac:dyDescent="0.2">
      <c r="A192" s="46"/>
      <c r="B192" s="118"/>
      <c r="C192" s="43"/>
      <c r="D192" s="45"/>
      <c r="E192" s="45"/>
      <c r="F192" s="119"/>
      <c r="G192" s="52"/>
      <c r="H192" s="53"/>
    </row>
    <row r="193" spans="1:8" x14ac:dyDescent="0.2">
      <c r="A193" s="46"/>
      <c r="B193" s="120"/>
      <c r="C193" s="46"/>
      <c r="D193" s="109" t="s">
        <v>99</v>
      </c>
      <c r="E193" s="51"/>
      <c r="F193" s="149"/>
      <c r="G193" s="52"/>
      <c r="H193" s="53"/>
    </row>
    <row r="194" spans="1:8" x14ac:dyDescent="0.2">
      <c r="A194" s="46"/>
      <c r="B194" s="121"/>
      <c r="C194" s="46"/>
      <c r="D194" s="113"/>
      <c r="E194" s="51"/>
      <c r="F194" s="119"/>
      <c r="G194" s="52"/>
      <c r="H194" s="53"/>
    </row>
    <row r="195" spans="1:8" x14ac:dyDescent="0.2">
      <c r="A195" s="46"/>
      <c r="B195" s="121"/>
      <c r="C195" s="46"/>
      <c r="D195" s="109" t="s">
        <v>93</v>
      </c>
      <c r="E195" s="51"/>
      <c r="F195" s="122" t="str">
        <f>IF(F193&lt;&gt;"",F193*1.6,"-")</f>
        <v>-</v>
      </c>
      <c r="G195" s="52"/>
      <c r="H195" s="53"/>
    </row>
    <row r="196" spans="1:8" x14ac:dyDescent="0.2">
      <c r="A196" s="46"/>
      <c r="B196" s="121"/>
      <c r="C196" s="46"/>
      <c r="D196" s="113"/>
      <c r="E196" s="51"/>
      <c r="F196" s="119"/>
      <c r="G196" s="52"/>
      <c r="H196" s="53"/>
    </row>
    <row r="197" spans="1:8" x14ac:dyDescent="0.2">
      <c r="A197" s="46"/>
      <c r="B197" s="121"/>
      <c r="C197" s="46"/>
      <c r="D197" s="110" t="s">
        <v>100</v>
      </c>
      <c r="E197" s="47"/>
      <c r="F197" s="123" t="str">
        <f>IF(F191&lt;&gt;0,(1.6-1.1)*(F193)*(F191*0.06),"-")</f>
        <v>-</v>
      </c>
      <c r="G197" s="52"/>
      <c r="H197" s="53"/>
    </row>
    <row r="198" spans="1:8" x14ac:dyDescent="0.2">
      <c r="A198" s="46"/>
      <c r="B198" s="121"/>
      <c r="C198" s="46"/>
      <c r="D198" s="47"/>
      <c r="E198" s="47"/>
      <c r="F198" s="119"/>
      <c r="G198" s="52"/>
      <c r="H198" s="53"/>
    </row>
    <row r="199" spans="1:8" x14ac:dyDescent="0.2">
      <c r="A199" s="46"/>
      <c r="B199" s="121"/>
      <c r="C199" s="46"/>
      <c r="D199" s="110" t="s">
        <v>95</v>
      </c>
      <c r="E199" s="47"/>
      <c r="F199" s="150"/>
      <c r="G199" s="52"/>
      <c r="H199" s="53"/>
    </row>
    <row r="200" spans="1:8" x14ac:dyDescent="0.2">
      <c r="A200" s="46"/>
      <c r="B200" s="121"/>
      <c r="C200" s="46"/>
      <c r="D200" s="47"/>
      <c r="E200" s="47"/>
      <c r="F200" s="119"/>
      <c r="G200" s="52"/>
      <c r="H200" s="53"/>
    </row>
    <row r="201" spans="1:8" x14ac:dyDescent="0.2">
      <c r="A201" s="46"/>
      <c r="B201" s="124"/>
      <c r="C201" s="125"/>
      <c r="D201" s="126" t="s">
        <v>101</v>
      </c>
      <c r="E201" s="127"/>
      <c r="F201" s="128" t="str">
        <f>IF(F199&lt;&gt;"",(F197*F199)/100,"$0.00")</f>
        <v>$0.00</v>
      </c>
      <c r="G201" s="48"/>
      <c r="H201" s="48"/>
    </row>
    <row r="202" spans="1:8" x14ac:dyDescent="0.2">
      <c r="A202" s="46"/>
      <c r="B202" s="46"/>
      <c r="C202" s="46"/>
      <c r="D202" s="47"/>
      <c r="E202" s="47"/>
      <c r="F202" s="48"/>
      <c r="G202" s="48"/>
      <c r="H202" s="48"/>
    </row>
    <row r="203" spans="1:8" x14ac:dyDescent="0.2">
      <c r="A203" s="54"/>
      <c r="B203" s="55"/>
      <c r="C203" s="55"/>
      <c r="D203" s="47"/>
      <c r="E203" s="47"/>
      <c r="F203" s="48"/>
      <c r="G203" s="48"/>
      <c r="H203" s="48"/>
    </row>
    <row r="204" spans="1:8" x14ac:dyDescent="0.2">
      <c r="A204" s="55"/>
      <c r="B204" s="55"/>
      <c r="C204" s="55"/>
      <c r="D204" s="47"/>
      <c r="E204" s="47"/>
      <c r="F204" s="48"/>
      <c r="G204" s="48"/>
      <c r="H204" s="48"/>
    </row>
    <row r="205" spans="1:8" x14ac:dyDescent="0.2">
      <c r="A205" s="55"/>
      <c r="B205" s="55"/>
      <c r="C205" s="55"/>
      <c r="D205" s="47"/>
      <c r="E205" s="47"/>
      <c r="F205" s="48"/>
      <c r="G205" s="48"/>
      <c r="H205" s="48"/>
    </row>
    <row r="206" spans="1:8" x14ac:dyDescent="0.2">
      <c r="A206" s="54"/>
      <c r="B206" s="55"/>
      <c r="C206" s="55"/>
      <c r="D206" s="47"/>
      <c r="E206" s="47"/>
      <c r="F206" s="48"/>
      <c r="G206" s="48"/>
      <c r="H206" s="48"/>
    </row>
    <row r="207" spans="1:8" x14ac:dyDescent="0.2">
      <c r="A207" s="55"/>
      <c r="B207" s="55"/>
      <c r="C207" s="55"/>
      <c r="D207" s="47"/>
      <c r="E207" s="47"/>
      <c r="F207" s="48"/>
      <c r="G207" s="48"/>
      <c r="H207" s="48"/>
    </row>
    <row r="208" spans="1:8" x14ac:dyDescent="0.2">
      <c r="A208" s="55"/>
      <c r="B208" s="55"/>
      <c r="C208" s="55"/>
      <c r="D208" s="47"/>
      <c r="E208" s="47"/>
      <c r="F208" s="48"/>
      <c r="G208" s="48"/>
      <c r="H208" s="48"/>
    </row>
    <row r="209" spans="1:8" ht="22.5" customHeight="1" x14ac:dyDescent="0.2">
      <c r="A209" s="54"/>
      <c r="B209" s="55"/>
      <c r="C209" s="55"/>
      <c r="D209" s="47"/>
      <c r="E209" s="47"/>
      <c r="F209" s="48"/>
      <c r="G209" s="48"/>
      <c r="H209" s="48"/>
    </row>
  </sheetData>
  <sheetProtection sheet="1" objects="1" scenarios="1"/>
  <dataConsolidate/>
  <mergeCells count="26">
    <mergeCell ref="A165:B165"/>
    <mergeCell ref="C168:C169"/>
    <mergeCell ref="A133:B133"/>
    <mergeCell ref="C134:C135"/>
    <mergeCell ref="A136:B136"/>
    <mergeCell ref="A152:H152"/>
    <mergeCell ref="B157:F157"/>
    <mergeCell ref="A163:B163"/>
    <mergeCell ref="C131:C132"/>
    <mergeCell ref="A57:H57"/>
    <mergeCell ref="A65:G65"/>
    <mergeCell ref="A79:H79"/>
    <mergeCell ref="B84:F84"/>
    <mergeCell ref="C91:C100"/>
    <mergeCell ref="C102:C110"/>
    <mergeCell ref="C112:C113"/>
    <mergeCell ref="C115:C118"/>
    <mergeCell ref="C120:C122"/>
    <mergeCell ref="C124:C125"/>
    <mergeCell ref="C127:C129"/>
    <mergeCell ref="A52:G52"/>
    <mergeCell ref="A1:H1"/>
    <mergeCell ref="B6:F6"/>
    <mergeCell ref="A12:H12"/>
    <mergeCell ref="A30:H30"/>
    <mergeCell ref="A42:H42"/>
  </mergeCells>
  <dataValidations count="12">
    <dataValidation type="whole" operator="greaterThanOrEqual" allowBlank="1" showInputMessage="1" showErrorMessage="1" error="Bid decimals set to zero._x000a__x000a_Contact Heidi Hirsbrunner (X3622)_x000a__x000a_to modify Incentive Spreadsheet." sqref="D168:D171 D120:D122 D124:D125 D127:D129 D131:D132 D134:D135 D164 D166 D137" xr:uid="{08E72F0C-7CF8-45DC-89B3-3393FE4FC6B2}">
      <formula1>0</formula1>
    </dataValidation>
    <dataValidation type="whole" operator="greaterThanOrEqual" allowBlank="1" showInputMessage="1" showErrorMessage="1" error="Bid decimals set to zero._x000a__x000a_Contact Heidi Hirsbrunner (X3622)_x000a_                 _x000a_to modify Incentive Spreadsheet." sqref="D112:D113" xr:uid="{9582EC56-74F9-4ACF-91DD-E823EB2FE6D0}">
      <formula1>0</formula1>
    </dataValidation>
    <dataValidation type="whole" operator="greaterThanOrEqual" allowBlank="1" showInputMessage="1" showErrorMessage="1" error="Bid decimals set to zero._x000a__x000a_Contact Heidi Hirsbrunner (X3622) _x000a__x000a_to modify Incentive Spreadsheet." sqref="D102:D110" xr:uid="{7EB27FA3-F361-4335-94B1-053E5AA54DAA}">
      <formula1>0</formula1>
    </dataValidation>
    <dataValidation type="whole" operator="greaterThanOrEqual" allowBlank="1" showInputMessage="1" showErrorMessage="1" error="Bid decimals set to zero._x000a__x000a_Contact Heidi Hirsbrunner (X3622)_x000a_                   _x000a_to modify Incentive Spreadsheet." sqref="D91:D100 D115:D118" xr:uid="{78A4BBDD-5A1A-4CBB-959F-82574752892E}">
      <formula1>0</formula1>
    </dataValidation>
    <dataValidation type="whole" operator="greaterThanOrEqual" allowBlank="1" showInputMessage="1" showErrorMessage="1" error="Bid decimals set to zero._x000a__x000a_Contact Heidi Hirsbrunner (X3622)_x000a_                _x000a_to modify Incentive Spreadsheet." sqref="D15 D17 D19 D21 D33 D23 D25 D27 D29 D35:D50" xr:uid="{FD519228-B57F-41F0-A465-127BF85C21FC}">
      <formula1>0</formula1>
    </dataValidation>
    <dataValidation allowBlank="1" showErrorMessage="1" sqref="B94" xr:uid="{CD2827B5-4004-4B3D-90D3-5AA107D629D5}"/>
    <dataValidation allowBlank="1" sqref="B82:C82 B155:C155" xr:uid="{90374006-639E-4CD7-9549-67AC4848A1AB}"/>
    <dataValidation allowBlank="1" showInputMessage="1" showErrorMessage="1" promptTitle="Enter project name" prompt="Example:  Pinto Basin Road" sqref="B6:F6" xr:uid="{F30C63A8-DD89-49EB-B412-D9179ADDF07B}"/>
    <dataValidation allowBlank="1" showInputMessage="1" showErrorMessage="1" promptTitle="Enter project number" prompt="Example:  CA FTNP JOTR 11(5)" sqref="B4:C4" xr:uid="{BA9BB28C-19D6-4CF4-AC80-2A1D819447F0}"/>
    <dataValidation type="whole" operator="greaterThanOrEqual" allowBlank="1" showInputMessage="1" showErrorMessage="1" error="Bid decimals set to zero._x000a__x000a_Contact Steve Chapman (X7801)_x000a_                   or_x000a_    Greg Kwock (X7987)_x000a__x000a_to modify Incentive Spreadsheet." sqref="D51 D138:D151" xr:uid="{C0DB00AB-AD53-4A2D-9850-E7C88CFF14AA}">
      <formula1>0</formula1>
    </dataValidation>
    <dataValidation type="list" showInputMessage="1" showErrorMessage="1" error="Please use drop-down menu to select a schedule" promptTitle="Select Schedule Type" prompt="Select Base, Option, or Alternate" sqref="H6" xr:uid="{B97C6905-30F9-4096-86B9-2747CED55E31}">
      <formula1>"  , Base, Option, Alternate"</formula1>
    </dataValidation>
    <dataValidation type="list" allowBlank="1" showInputMessage="1" showErrorMessage="1" promptTitle="Choose Letter" prompt="If you need more than six schedules, then copy additional sheet tabs and calculate incentives separately for each schedule._x000a__x000a_Sheet tabs can be copied by left clicking the active tab, choosing 'Move or Copy', then clicking the &quot;Create Copy' checkbox." sqref="H8" xr:uid="{704D1DD8-AA0D-44F1-9B48-6C07DA360584}">
      <formula1>", A, B, C, D, E, F, G, W, X, Y, Z"</formula1>
    </dataValidation>
  </dataValidations>
  <printOptions horizontalCentered="1"/>
  <pageMargins left="0.45" right="0.45" top="0.6" bottom="0.25" header="0" footer="0.05"/>
  <pageSetup scale="81" fitToHeight="2" orientation="portrait" r:id="rId1"/>
  <headerFooter>
    <oddFooter>&amp;RRev. 04-23-2024</oddFooter>
  </headerFooter>
  <rowBreaks count="1" manualBreakCount="1">
    <brk id="78" max="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0A352-73FC-4704-BEE2-D99578112A3A}">
  <dimension ref="A1:K209"/>
  <sheetViews>
    <sheetView workbookViewId="0">
      <selection sqref="A1:H1"/>
    </sheetView>
  </sheetViews>
  <sheetFormatPr defaultColWidth="9.140625" defaultRowHeight="12.75" x14ac:dyDescent="0.2"/>
  <cols>
    <col min="1" max="1" width="14.140625" style="6" bestFit="1" customWidth="1"/>
    <col min="2" max="2" width="31.7109375" style="6" customWidth="1"/>
    <col min="3" max="3" width="6.140625" style="6" customWidth="1"/>
    <col min="4" max="4" width="14.140625" style="37" customWidth="1"/>
    <col min="5" max="5" width="1.7109375" style="37" customWidth="1"/>
    <col min="6" max="6" width="12.42578125" style="38" customWidth="1"/>
    <col min="7" max="7" width="14.42578125" style="38" customWidth="1"/>
    <col min="8" max="8" width="16.7109375" style="38" bestFit="1" customWidth="1"/>
    <col min="9" max="16384" width="9.140625" style="6"/>
  </cols>
  <sheetData>
    <row r="1" spans="1:8" ht="18" x14ac:dyDescent="0.25">
      <c r="A1" s="208" t="s">
        <v>0</v>
      </c>
      <c r="B1" s="208"/>
      <c r="C1" s="208"/>
      <c r="D1" s="208"/>
      <c r="E1" s="208"/>
      <c r="F1" s="208"/>
      <c r="G1" s="208"/>
      <c r="H1" s="208"/>
    </row>
    <row r="2" spans="1:8" ht="15" x14ac:dyDescent="0.2">
      <c r="A2" s="7"/>
      <c r="B2" s="7"/>
      <c r="C2" s="11" t="s">
        <v>1</v>
      </c>
      <c r="D2" s="205" t="str">
        <f>+Sheet1!D2</f>
        <v>FP-24</v>
      </c>
      <c r="E2" s="8"/>
      <c r="F2" s="9"/>
      <c r="G2" s="9"/>
      <c r="H2" s="9"/>
    </row>
    <row r="3" spans="1:8" x14ac:dyDescent="0.2">
      <c r="A3" s="7"/>
      <c r="B3" s="7"/>
      <c r="C3" s="7"/>
      <c r="D3" s="10"/>
      <c r="E3" s="8"/>
      <c r="F3" s="9"/>
      <c r="G3" s="9"/>
      <c r="H3" s="9"/>
    </row>
    <row r="4" spans="1:8" x14ac:dyDescent="0.2">
      <c r="A4" s="11" t="s">
        <v>3</v>
      </c>
      <c r="B4" s="206" t="str">
        <f>+Sheet1!B4</f>
        <v>AZ Heidi Test(1)</v>
      </c>
      <c r="C4" s="206"/>
      <c r="D4" s="12"/>
      <c r="E4" s="12"/>
      <c r="F4" s="13"/>
      <c r="G4" s="14" t="s">
        <v>5</v>
      </c>
      <c r="H4" s="15">
        <f ca="1" xml:space="preserve"> TODAY()</f>
        <v>45532</v>
      </c>
    </row>
    <row r="5" spans="1:8" ht="6" customHeight="1" x14ac:dyDescent="0.2">
      <c r="A5" s="11"/>
      <c r="B5" s="206"/>
      <c r="C5" s="206"/>
      <c r="D5" s="12"/>
      <c r="E5" s="12"/>
      <c r="F5" s="13"/>
      <c r="G5" s="14"/>
      <c r="H5" s="15"/>
    </row>
    <row r="6" spans="1:8" ht="15" x14ac:dyDescent="0.2">
      <c r="A6" s="11" t="s">
        <v>6</v>
      </c>
      <c r="B6" s="212" t="str">
        <f>+Sheet1!B6</f>
        <v>Heidi National Park</v>
      </c>
      <c r="C6" s="212">
        <f>+Sheet1!C6</f>
        <v>0</v>
      </c>
      <c r="D6" s="212">
        <f>+Sheet1!D6</f>
        <v>0</v>
      </c>
      <c r="E6" s="212">
        <f>+Sheet1!E6</f>
        <v>0</v>
      </c>
      <c r="F6" s="212">
        <f>+Sheet1!F6</f>
        <v>0</v>
      </c>
      <c r="G6" s="153" t="s">
        <v>8</v>
      </c>
      <c r="H6" s="1" t="s">
        <v>106</v>
      </c>
    </row>
    <row r="7" spans="1:8" ht="5.25" customHeight="1" x14ac:dyDescent="0.2">
      <c r="A7" s="11"/>
      <c r="B7" s="206"/>
      <c r="C7" s="206"/>
      <c r="D7" s="206"/>
      <c r="E7" s="206"/>
      <c r="F7" s="206"/>
      <c r="G7" s="14"/>
      <c r="H7" s="16"/>
    </row>
    <row r="8" spans="1:8" ht="12.75" customHeight="1" x14ac:dyDescent="0.2">
      <c r="A8" s="11"/>
      <c r="B8" s="206"/>
      <c r="C8" s="206"/>
      <c r="D8" s="206"/>
      <c r="E8" s="206"/>
      <c r="F8" s="206"/>
      <c r="G8" s="14" t="s">
        <v>10</v>
      </c>
      <c r="H8" s="204" t="s">
        <v>109</v>
      </c>
    </row>
    <row r="9" spans="1:8" ht="6" customHeight="1" x14ac:dyDescent="0.2">
      <c r="A9" s="11"/>
      <c r="B9" s="206"/>
      <c r="C9" s="206"/>
      <c r="D9" s="206"/>
      <c r="E9" s="206"/>
      <c r="F9" s="206"/>
      <c r="G9" s="14"/>
      <c r="H9" s="16"/>
    </row>
    <row r="10" spans="1:8" ht="15" x14ac:dyDescent="0.2">
      <c r="A10" s="7"/>
      <c r="B10" s="7"/>
      <c r="C10" s="7"/>
      <c r="D10" s="8"/>
      <c r="E10" s="8"/>
      <c r="F10" s="9"/>
      <c r="G10" s="14" t="s">
        <v>12</v>
      </c>
      <c r="H10" s="205" t="str">
        <f>+Sheet1!H10</f>
        <v>US CUSTOMARY</v>
      </c>
    </row>
    <row r="11" spans="1:8" ht="13.5" thickBot="1" x14ac:dyDescent="0.25">
      <c r="A11" s="7"/>
      <c r="B11" s="7"/>
      <c r="C11" s="7"/>
      <c r="D11" s="8"/>
      <c r="E11" s="8"/>
      <c r="F11" s="9"/>
      <c r="G11" s="14"/>
      <c r="H11" s="13"/>
    </row>
    <row r="12" spans="1:8" ht="18.75" customHeight="1" thickBot="1" x14ac:dyDescent="0.25">
      <c r="A12" s="207" t="s">
        <v>14</v>
      </c>
      <c r="B12" s="207"/>
      <c r="C12" s="207"/>
      <c r="D12" s="207"/>
      <c r="E12" s="207"/>
      <c r="F12" s="207"/>
      <c r="G12" s="207"/>
      <c r="H12" s="207"/>
    </row>
    <row r="13" spans="1:8" x14ac:dyDescent="0.2">
      <c r="A13" s="17" t="s">
        <v>15</v>
      </c>
      <c r="B13" s="17"/>
      <c r="C13" s="17"/>
      <c r="D13" s="17" t="s">
        <v>16</v>
      </c>
      <c r="E13" s="17"/>
      <c r="F13" s="17"/>
      <c r="G13" s="17"/>
      <c r="H13" s="17"/>
    </row>
    <row r="14" spans="1:8" ht="13.5" thickBot="1" x14ac:dyDescent="0.25">
      <c r="A14" s="18" t="s">
        <v>17</v>
      </c>
      <c r="B14" s="19" t="s">
        <v>18</v>
      </c>
      <c r="C14" s="19"/>
      <c r="D14" s="20" t="str">
        <f>IF(Units="US CUSTOMARY"," (Ton or SY)"," (tonnes or m2)")</f>
        <v xml:space="preserve"> (Ton or SY)</v>
      </c>
      <c r="E14" s="21"/>
      <c r="F14" s="20" t="s">
        <v>19</v>
      </c>
      <c r="G14" s="20" t="str">
        <f>"Q_"&amp;IF(Units="US CUSTOMARY","Ton","t")&amp;" Unit Price"</f>
        <v>Q_Ton Unit Price</v>
      </c>
      <c r="H14" s="20" t="s">
        <v>20</v>
      </c>
    </row>
    <row r="15" spans="1:8" ht="13.5" thickTop="1" x14ac:dyDescent="0.2">
      <c r="A15" s="22" t="str">
        <f>IF(FP="FP-24","301","301")</f>
        <v>301</v>
      </c>
      <c r="B15" s="23" t="str">
        <f>IF(FP="FP-03","Untreated Aggregate Courses","Untreated Aggregate Courses")</f>
        <v>Untreated Aggregate Courses</v>
      </c>
      <c r="C15" s="23"/>
      <c r="D15" s="3"/>
      <c r="E15" s="144"/>
      <c r="F15" s="4"/>
      <c r="G15" s="25" t="str">
        <f>IF(ISNUMBER(F15),ROUND(F15*0.05,2),"-")</f>
        <v>-</v>
      </c>
      <c r="H15" s="25" t="str">
        <f>IF(AND(ISNUMBER(D15),ISNUMBER(F15)),D15*G15,"-")</f>
        <v>-</v>
      </c>
    </row>
    <row r="16" spans="1:8" ht="6" customHeight="1" x14ac:dyDescent="0.2">
      <c r="A16" s="22"/>
      <c r="B16" s="23"/>
      <c r="C16" s="23"/>
      <c r="D16" s="144"/>
      <c r="E16" s="144"/>
      <c r="F16" s="145"/>
      <c r="G16" s="25"/>
      <c r="H16" s="25"/>
    </row>
    <row r="17" spans="1:11" x14ac:dyDescent="0.2">
      <c r="A17" s="22" t="str">
        <f>IF(FP="FP-24","308","309")</f>
        <v>308</v>
      </c>
      <c r="B17" s="23" t="str">
        <f>IF(FP="FP-24","Emulsified Asphalt-Treated Base Course","Emulsified Asphalt-Treated Base Course")</f>
        <v>Emulsified Asphalt-Treated Base Course</v>
      </c>
      <c r="C17" s="23"/>
      <c r="D17" s="3"/>
      <c r="E17" s="144"/>
      <c r="F17" s="4"/>
      <c r="G17" s="25" t="str">
        <f>IF(ISNUMBER(F17),ROUND(F17*0.05,2),"-")</f>
        <v>-</v>
      </c>
      <c r="H17" s="25" t="str">
        <f>IF(AND(ISNUMBER(D17),ISNUMBER(F17)),D17*G17,"-")</f>
        <v>-</v>
      </c>
    </row>
    <row r="18" spans="1:11" ht="6" customHeight="1" x14ac:dyDescent="0.2">
      <c r="A18" s="22"/>
      <c r="B18" s="23"/>
      <c r="C18" s="23"/>
      <c r="D18" s="144"/>
      <c r="E18" s="144"/>
      <c r="F18" s="145"/>
      <c r="G18" s="25"/>
      <c r="H18" s="25"/>
    </row>
    <row r="19" spans="1:11" x14ac:dyDescent="0.2">
      <c r="A19" s="22" t="str">
        <f>IF(FP="FP-24","311","311")</f>
        <v>311</v>
      </c>
      <c r="B19" s="23" t="str">
        <f>IF(FP="FP-03","Aggregate Stabiliation","Stabilized Aggregate Surface Course")</f>
        <v>Stabilized Aggregate Surface Course</v>
      </c>
      <c r="C19" s="23"/>
      <c r="D19" s="3"/>
      <c r="E19" s="144"/>
      <c r="F19" s="4"/>
      <c r="G19" s="25" t="str">
        <f t="shared" ref="G19:G25" si="0">IF(ISNUMBER(F19),ROUND(F19*0.05,2),"-")</f>
        <v>-</v>
      </c>
      <c r="H19" s="25" t="str">
        <f>IF(AND(ISNUMBER(D19),ISNUMBER(F19)),D19*G19,"-")</f>
        <v>-</v>
      </c>
    </row>
    <row r="20" spans="1:11" ht="6" customHeight="1" x14ac:dyDescent="0.2">
      <c r="A20" s="22"/>
      <c r="B20" s="23"/>
      <c r="C20" s="23"/>
      <c r="D20" s="144"/>
      <c r="E20" s="144"/>
      <c r="F20" s="145"/>
      <c r="G20" s="25"/>
      <c r="H20" s="25"/>
    </row>
    <row r="21" spans="1:11" x14ac:dyDescent="0.2">
      <c r="A21" s="22" t="str">
        <f>IF(FP="FP-24","405","405")</f>
        <v>405</v>
      </c>
      <c r="B21" s="23" t="str">
        <f>IF(FP="FP-24","Open-Graded Asphalt Friction Course","Open-Graded Asphalt Friction Course")</f>
        <v>Open-Graded Asphalt Friction Course</v>
      </c>
      <c r="C21" s="23"/>
      <c r="D21" s="3"/>
      <c r="E21" s="144"/>
      <c r="F21" s="4"/>
      <c r="G21" s="25" t="str">
        <f t="shared" si="0"/>
        <v>-</v>
      </c>
      <c r="H21" s="25" t="str">
        <f>IF(AND(ISNUMBER(D21),ISNUMBER(F21)),D21*G21,"-")</f>
        <v>-</v>
      </c>
    </row>
    <row r="22" spans="1:11" ht="6" customHeight="1" x14ac:dyDescent="0.2">
      <c r="A22" s="22"/>
      <c r="B22" s="23"/>
      <c r="C22" s="23"/>
      <c r="D22" s="144"/>
      <c r="E22" s="144"/>
      <c r="F22" s="145"/>
      <c r="G22" s="25"/>
      <c r="H22" s="25"/>
    </row>
    <row r="23" spans="1:11" x14ac:dyDescent="0.2">
      <c r="A23" s="22" t="str">
        <f>IF(FP="FP-24","407","407")</f>
        <v>407</v>
      </c>
      <c r="B23" s="23" t="str">
        <f>IF(FP="FP-24","Chip Seal","Chip Seal")</f>
        <v>Chip Seal</v>
      </c>
      <c r="C23" s="23"/>
      <c r="D23" s="3"/>
      <c r="E23" s="144"/>
      <c r="F23" s="4"/>
      <c r="G23" s="25" t="str">
        <f t="shared" si="0"/>
        <v>-</v>
      </c>
      <c r="H23" s="25" t="str">
        <f>IF(AND(ISNUMBER(D23),ISNUMBER(F23)),D23*G23,"-")</f>
        <v>-</v>
      </c>
    </row>
    <row r="24" spans="1:11" ht="6" customHeight="1" x14ac:dyDescent="0.2">
      <c r="A24" s="22"/>
      <c r="B24" s="23"/>
      <c r="C24" s="23"/>
      <c r="D24" s="144"/>
      <c r="E24" s="144"/>
      <c r="F24" s="145"/>
      <c r="G24" s="25"/>
      <c r="H24" s="25"/>
    </row>
    <row r="25" spans="1:11" x14ac:dyDescent="0.2">
      <c r="A25" s="22" t="str">
        <f>IF(FP="FP-24","-","-")</f>
        <v>-</v>
      </c>
      <c r="B25" s="23" t="str">
        <f>IF(FP="FP-24","                      - ","                      -")</f>
        <v xml:space="preserve">                      - </v>
      </c>
      <c r="C25" s="23"/>
      <c r="D25" s="3"/>
      <c r="E25" s="144"/>
      <c r="F25" s="4"/>
      <c r="G25" s="25" t="str">
        <f t="shared" si="0"/>
        <v>-</v>
      </c>
      <c r="H25" s="25" t="str">
        <f>IF(AND(ISNUMBER(D25),ISNUMBER(F25)),D25*G25,"-")</f>
        <v>-</v>
      </c>
    </row>
    <row r="26" spans="1:11" ht="6" customHeight="1" x14ac:dyDescent="0.2">
      <c r="A26" s="22"/>
      <c r="B26" s="23"/>
      <c r="C26" s="23"/>
      <c r="D26" s="144"/>
      <c r="E26" s="144"/>
      <c r="F26" s="145"/>
      <c r="G26" s="25"/>
      <c r="H26" s="25"/>
    </row>
    <row r="27" spans="1:11" x14ac:dyDescent="0.2">
      <c r="A27" s="22"/>
      <c r="B27" s="23"/>
      <c r="C27" s="23"/>
      <c r="D27" s="144"/>
      <c r="E27" s="144"/>
      <c r="F27" s="145"/>
      <c r="G27" s="25"/>
      <c r="H27" s="25"/>
    </row>
    <row r="28" spans="1:11" ht="6" customHeight="1" x14ac:dyDescent="0.2">
      <c r="A28" s="22"/>
      <c r="B28" s="23"/>
      <c r="C28" s="23"/>
      <c r="D28" s="144"/>
      <c r="E28" s="144"/>
      <c r="F28" s="145"/>
      <c r="G28" s="25"/>
      <c r="H28" s="25"/>
    </row>
    <row r="29" spans="1:11" ht="13.5" thickBot="1" x14ac:dyDescent="0.25">
      <c r="A29" s="22"/>
      <c r="B29" s="23"/>
      <c r="C29" s="23"/>
      <c r="D29" s="144"/>
      <c r="E29" s="144"/>
      <c r="F29" s="145"/>
      <c r="G29" s="25"/>
      <c r="H29" s="25"/>
    </row>
    <row r="30" spans="1:11" ht="18.75" customHeight="1" thickBot="1" x14ac:dyDescent="0.25">
      <c r="A30" s="207" t="s">
        <v>21</v>
      </c>
      <c r="B30" s="207"/>
      <c r="C30" s="207"/>
      <c r="D30" s="207"/>
      <c r="E30" s="207"/>
      <c r="F30" s="207"/>
      <c r="G30" s="207"/>
      <c r="H30" s="207"/>
      <c r="K30" s="27"/>
    </row>
    <row r="31" spans="1:11" ht="13.5" customHeight="1" x14ac:dyDescent="0.2">
      <c r="A31" s="28" t="s">
        <v>15</v>
      </c>
      <c r="B31" s="28"/>
      <c r="C31" s="17"/>
      <c r="D31" s="17" t="s">
        <v>16</v>
      </c>
      <c r="E31" s="28"/>
      <c r="F31" s="28"/>
      <c r="G31" s="28"/>
      <c r="H31" s="28"/>
      <c r="K31" s="27"/>
    </row>
    <row r="32" spans="1:11" ht="13.5" customHeight="1" thickBot="1" x14ac:dyDescent="0.25">
      <c r="A32" s="18" t="s">
        <v>17</v>
      </c>
      <c r="B32" s="19" t="s">
        <v>18</v>
      </c>
      <c r="C32" s="19"/>
      <c r="D32" s="20" t="str">
        <f>IF(Units="US CUSTOMARY"," (Ton or SY)"," (tonnes or m2)")</f>
        <v xml:space="preserve"> (Ton or SY)</v>
      </c>
      <c r="E32" s="21"/>
      <c r="F32" s="20" t="s">
        <v>19</v>
      </c>
      <c r="G32" s="20" t="str">
        <f>"Q_"&amp;IF(Units="US CUSTOMARY","Ton","t")&amp;" Unit Price"</f>
        <v>Q_Ton Unit Price</v>
      </c>
      <c r="H32" s="20" t="s">
        <v>20</v>
      </c>
    </row>
    <row r="33" spans="1:8" ht="13.5" customHeight="1" thickTop="1" x14ac:dyDescent="0.2">
      <c r="A33" s="22" t="str">
        <f>IF(FP="FP-24","401","401")</f>
        <v>401</v>
      </c>
      <c r="B33" s="23" t="str">
        <f>IF(FP="FP-24","ACP by Gyratory Mix Design","ACP by Gyratory Mix Design")</f>
        <v>ACP by Gyratory Mix Design</v>
      </c>
      <c r="C33" s="23"/>
      <c r="D33" s="3"/>
      <c r="E33" s="144"/>
      <c r="F33" s="4"/>
      <c r="G33" s="25" t="str">
        <f>IF(ISNUMBER(F33),ROUND(F33*0.06,2),"-")</f>
        <v>-</v>
      </c>
      <c r="H33" s="25" t="str">
        <f>IF(AND(ISNUMBER(D33),ISNUMBER(F33)),D33*G33,"-")</f>
        <v>-</v>
      </c>
    </row>
    <row r="34" spans="1:8" ht="6" customHeight="1" x14ac:dyDescent="0.2">
      <c r="A34" s="22"/>
      <c r="B34" s="23"/>
      <c r="C34" s="23"/>
      <c r="D34" s="144"/>
      <c r="E34" s="144"/>
      <c r="F34" s="145"/>
      <c r="G34" s="25"/>
      <c r="H34" s="25"/>
    </row>
    <row r="35" spans="1:8" ht="13.5" customHeight="1" x14ac:dyDescent="0.2">
      <c r="A35" s="22" t="str">
        <f>IF(FP="FP-24","402","402")</f>
        <v>402</v>
      </c>
      <c r="B35" s="23" t="str">
        <f>IF(FP="FP-24","ACP by Hveem or Marshall Mix Design","ACP by Hveem or Marshall Mix Design")</f>
        <v>ACP by Hveem or Marshall Mix Design</v>
      </c>
      <c r="C35" s="23"/>
      <c r="D35" s="3"/>
      <c r="E35" s="144"/>
      <c r="F35" s="4"/>
      <c r="G35" s="25" t="str">
        <f>IF(ISNUMBER(F35),ROUND(F35*0.06,2),"-")</f>
        <v>-</v>
      </c>
      <c r="H35" s="25" t="str">
        <f>IF(AND(ISNUMBER(D35),ISNUMBER(F35)),D35*G35,"-")</f>
        <v>-</v>
      </c>
    </row>
    <row r="36" spans="1:8" ht="6" customHeight="1" x14ac:dyDescent="0.2">
      <c r="A36" s="22"/>
      <c r="B36" s="23"/>
      <c r="C36" s="23"/>
      <c r="D36" s="144"/>
      <c r="E36" s="144"/>
      <c r="F36" s="145"/>
      <c r="G36" s="25"/>
      <c r="H36" s="25"/>
    </row>
    <row r="37" spans="1:8" ht="13.5" customHeight="1" x14ac:dyDescent="0.2">
      <c r="A37" s="22" t="str">
        <f>IF(FP="FP-24","-","-")</f>
        <v>-</v>
      </c>
      <c r="B37" s="23" t="str">
        <f>IF(FP="FP-24","                      -","                      -")</f>
        <v xml:space="preserve">                      -</v>
      </c>
      <c r="C37" s="23"/>
      <c r="D37" s="3"/>
      <c r="E37" s="144"/>
      <c r="F37" s="4"/>
      <c r="G37" s="25" t="str">
        <f>IF(ISNUMBER(F37),ROUND(F37*0.06,2),"-")</f>
        <v>-</v>
      </c>
      <c r="H37" s="25" t="str">
        <f>IF(AND(ISNUMBER(D37),ISNUMBER(F37)),D37*G37,"-")</f>
        <v>-</v>
      </c>
    </row>
    <row r="38" spans="1:8" ht="6" customHeight="1" x14ac:dyDescent="0.2">
      <c r="A38" s="22"/>
      <c r="B38" s="23"/>
      <c r="C38" s="23"/>
      <c r="D38" s="144"/>
      <c r="E38" s="144"/>
      <c r="F38" s="145"/>
      <c r="G38" s="25"/>
      <c r="H38" s="25"/>
    </row>
    <row r="39" spans="1:8" x14ac:dyDescent="0.2">
      <c r="A39" s="22"/>
      <c r="B39" s="23"/>
      <c r="C39" s="23"/>
      <c r="D39" s="144"/>
      <c r="E39" s="144"/>
      <c r="F39" s="145"/>
      <c r="G39" s="25"/>
      <c r="H39" s="25"/>
    </row>
    <row r="40" spans="1:8" ht="6" customHeight="1" x14ac:dyDescent="0.2">
      <c r="A40" s="22"/>
      <c r="B40" s="23"/>
      <c r="C40" s="23"/>
      <c r="D40" s="144"/>
      <c r="E40" s="144"/>
      <c r="F40" s="145"/>
      <c r="G40" s="25"/>
      <c r="H40" s="25"/>
    </row>
    <row r="41" spans="1:8" ht="13.5" thickBot="1" x14ac:dyDescent="0.25">
      <c r="A41" s="22"/>
      <c r="B41" s="23"/>
      <c r="C41" s="23"/>
      <c r="D41" s="144"/>
      <c r="E41" s="144"/>
      <c r="F41" s="145"/>
      <c r="G41" s="25"/>
      <c r="H41" s="25"/>
    </row>
    <row r="42" spans="1:8" ht="18.75" customHeight="1" thickBot="1" x14ac:dyDescent="0.25">
      <c r="A42" s="207" t="s">
        <v>22</v>
      </c>
      <c r="B42" s="207"/>
      <c r="C42" s="207"/>
      <c r="D42" s="207"/>
      <c r="E42" s="207"/>
      <c r="F42" s="207"/>
      <c r="G42" s="207"/>
      <c r="H42" s="207"/>
    </row>
    <row r="43" spans="1:8" ht="13.5" customHeight="1" x14ac:dyDescent="0.2">
      <c r="A43" s="28" t="s">
        <v>15</v>
      </c>
      <c r="B43" s="28"/>
      <c r="C43" s="17"/>
      <c r="D43" s="17" t="s">
        <v>16</v>
      </c>
      <c r="E43" s="28"/>
      <c r="F43" s="28"/>
      <c r="G43" s="28"/>
      <c r="H43" s="28"/>
    </row>
    <row r="44" spans="1:8" ht="13.5" customHeight="1" thickBot="1" x14ac:dyDescent="0.25">
      <c r="A44" s="18" t="s">
        <v>17</v>
      </c>
      <c r="B44" s="19" t="s">
        <v>18</v>
      </c>
      <c r="C44" s="19"/>
      <c r="D44" s="20" t="str">
        <f>IF(Units="US CUSTOMARY"," (Ton or SY)"," (tonnes or m2)")</f>
        <v xml:space="preserve"> (Ton or SY)</v>
      </c>
      <c r="E44" s="21"/>
      <c r="F44" s="20" t="s">
        <v>19</v>
      </c>
      <c r="G44" s="20" t="str">
        <f>"Q_"&amp;IF(Units="US CUSTOMARY","Ton","t")&amp;" Unit Price"</f>
        <v>Q_Ton Unit Price</v>
      </c>
      <c r="H44" s="20" t="s">
        <v>20</v>
      </c>
    </row>
    <row r="45" spans="1:8" ht="13.5" customHeight="1" thickTop="1" x14ac:dyDescent="0.2">
      <c r="A45" s="22" t="str">
        <f>IF(FP="FP-24","404"," -")</f>
        <v>404</v>
      </c>
      <c r="B45" s="23" t="str">
        <f>IF(FP="FP-24","Thin Lift Asphalt Concrete Pavement","                      -")</f>
        <v>Thin Lift Asphalt Concrete Pavement</v>
      </c>
      <c r="C45" s="23"/>
      <c r="D45" s="3"/>
      <c r="E45" s="144"/>
      <c r="F45" s="4"/>
      <c r="G45" s="25" t="str">
        <f>IF(ISNUMBER(F45),ROUND(F45*0.01,2),"-")</f>
        <v>-</v>
      </c>
      <c r="H45" s="25" t="str">
        <f>IF(AND(ISNUMBER(D45),ISNUMBER(F45)),D45*G45,"-")</f>
        <v>-</v>
      </c>
    </row>
    <row r="46" spans="1:8" ht="6" customHeight="1" x14ac:dyDescent="0.2">
      <c r="A46" s="22"/>
      <c r="B46" s="23"/>
      <c r="C46" s="23"/>
      <c r="D46" s="144"/>
      <c r="E46" s="144"/>
      <c r="F46" s="145"/>
      <c r="G46" s="25"/>
      <c r="H46" s="25"/>
    </row>
    <row r="47" spans="1:8" ht="13.5" customHeight="1" x14ac:dyDescent="0.2">
      <c r="A47" s="22"/>
      <c r="B47" s="23"/>
      <c r="C47" s="23"/>
      <c r="D47" s="144"/>
      <c r="E47" s="144"/>
      <c r="F47" s="145"/>
      <c r="G47" s="25"/>
      <c r="H47" s="25"/>
    </row>
    <row r="48" spans="1:8" ht="6" customHeight="1" x14ac:dyDescent="0.2">
      <c r="A48" s="22"/>
      <c r="B48" s="23"/>
      <c r="C48" s="23"/>
      <c r="D48" s="144"/>
      <c r="E48" s="144"/>
      <c r="F48" s="145"/>
      <c r="G48" s="25"/>
      <c r="H48" s="25"/>
    </row>
    <row r="49" spans="1:8" ht="13.5" customHeight="1" x14ac:dyDescent="0.2">
      <c r="A49" s="22"/>
      <c r="B49" s="23"/>
      <c r="C49" s="23"/>
      <c r="D49" s="144"/>
      <c r="E49" s="144"/>
      <c r="F49" s="145"/>
      <c r="G49" s="25"/>
      <c r="H49" s="25"/>
    </row>
    <row r="50" spans="1:8" x14ac:dyDescent="0.2">
      <c r="A50" s="22"/>
      <c r="B50" s="23"/>
      <c r="C50" s="23"/>
      <c r="D50" s="24"/>
      <c r="E50" s="24"/>
      <c r="F50" s="26"/>
      <c r="G50" s="25"/>
      <c r="H50" s="25"/>
    </row>
    <row r="51" spans="1:8" x14ac:dyDescent="0.2">
      <c r="A51" s="7"/>
      <c r="B51" s="7"/>
      <c r="C51" s="7"/>
      <c r="D51" s="8"/>
      <c r="E51" s="8"/>
      <c r="F51" s="9"/>
      <c r="G51" s="9"/>
      <c r="H51" s="9"/>
    </row>
    <row r="52" spans="1:8" x14ac:dyDescent="0.2">
      <c r="A52" s="211" t="s">
        <v>23</v>
      </c>
      <c r="B52" s="211"/>
      <c r="C52" s="211"/>
      <c r="D52" s="211"/>
      <c r="E52" s="211"/>
      <c r="F52" s="211"/>
      <c r="G52" s="211"/>
      <c r="H52" s="29">
        <f>SUM(H15,H17,H19,H21,H23,H25,H33,H35,H37,H45)</f>
        <v>0</v>
      </c>
    </row>
    <row r="53" spans="1:8" x14ac:dyDescent="0.2">
      <c r="A53" s="31"/>
      <c r="B53" s="31"/>
      <c r="C53" s="31"/>
      <c r="D53" s="31"/>
      <c r="E53" s="31"/>
      <c r="F53" s="31"/>
      <c r="G53" s="31"/>
      <c r="H53" s="32"/>
    </row>
    <row r="54" spans="1:8" ht="6" customHeight="1" x14ac:dyDescent="0.2">
      <c r="A54" s="31"/>
      <c r="B54" s="31"/>
      <c r="C54" s="31"/>
      <c r="D54" s="31"/>
      <c r="E54" s="31"/>
      <c r="F54" s="31"/>
      <c r="G54" s="31"/>
      <c r="H54" s="32"/>
    </row>
    <row r="55" spans="1:8" x14ac:dyDescent="0.2">
      <c r="A55" s="31"/>
      <c r="B55" s="31"/>
      <c r="C55" s="31"/>
      <c r="D55" s="31"/>
      <c r="E55" s="31"/>
      <c r="F55" s="31"/>
      <c r="G55" s="31"/>
      <c r="H55" s="32"/>
    </row>
    <row r="56" spans="1:8" ht="13.5" thickBot="1" x14ac:dyDescent="0.25">
      <c r="A56" s="7"/>
      <c r="B56" s="7"/>
      <c r="C56" s="7"/>
      <c r="D56" s="8"/>
      <c r="E56" s="8"/>
      <c r="F56" s="9"/>
      <c r="G56" s="9"/>
      <c r="H56" s="9"/>
    </row>
    <row r="57" spans="1:8" ht="18.75" thickBot="1" x14ac:dyDescent="0.25">
      <c r="A57" s="210" t="s">
        <v>24</v>
      </c>
      <c r="B57" s="210"/>
      <c r="C57" s="210"/>
      <c r="D57" s="210"/>
      <c r="E57" s="210"/>
      <c r="F57" s="210"/>
      <c r="G57" s="210"/>
      <c r="H57" s="210"/>
    </row>
    <row r="58" spans="1:8" x14ac:dyDescent="0.2">
      <c r="A58" s="28" t="s">
        <v>15</v>
      </c>
      <c r="B58" s="28"/>
      <c r="C58" s="28"/>
      <c r="D58" s="28" t="s">
        <v>25</v>
      </c>
      <c r="E58" s="28"/>
      <c r="F58" s="28"/>
      <c r="G58" s="28"/>
      <c r="H58" s="28"/>
    </row>
    <row r="59" spans="1:8" ht="13.5" thickBot="1" x14ac:dyDescent="0.25">
      <c r="A59" s="18" t="s">
        <v>17</v>
      </c>
      <c r="B59" s="19" t="s">
        <v>18</v>
      </c>
      <c r="C59" s="19"/>
      <c r="D59" s="21" t="str">
        <f>"Lane-"&amp;IF(Units="US CUSTOMARY","miles","kilometers")</f>
        <v>Lane-miles</v>
      </c>
      <c r="E59" s="21"/>
      <c r="F59" s="20"/>
      <c r="G59" s="20"/>
      <c r="H59" s="20" t="s">
        <v>20</v>
      </c>
    </row>
    <row r="60" spans="1:8" ht="13.5" thickTop="1" x14ac:dyDescent="0.2">
      <c r="A60" s="22">
        <v>401</v>
      </c>
      <c r="B60" s="7" t="s">
        <v>103</v>
      </c>
      <c r="C60" s="7"/>
      <c r="D60" s="5"/>
      <c r="E60" s="33"/>
      <c r="F60" s="25"/>
      <c r="G60" s="25"/>
      <c r="H60" s="25" t="str">
        <f>IF(ISNUMBER(D60),IF(FP="FP-14",(IF(Units="US CUSTOMARY",80000,49600)*(1.05-1)*D60),(IF(FP="FP-24",(IF(Units="Us Customary",100000,62200)*(1.05-1)*D60)))),"-")</f>
        <v>-</v>
      </c>
    </row>
    <row r="61" spans="1:8" ht="6" customHeight="1" x14ac:dyDescent="0.2">
      <c r="A61" s="22"/>
      <c r="B61" s="7"/>
      <c r="C61" s="7"/>
      <c r="D61" s="146"/>
      <c r="E61" s="33"/>
      <c r="F61" s="25"/>
      <c r="G61" s="25"/>
      <c r="H61" s="25"/>
    </row>
    <row r="62" spans="1:8" x14ac:dyDescent="0.2">
      <c r="A62" s="22">
        <v>402</v>
      </c>
      <c r="B62" s="7" t="str">
        <f>IF(FP="FP-03","Hot ACP By Hveem or Marshall Mix Design","ACP By Hveem or Marshall Mix Design")</f>
        <v>ACP By Hveem or Marshall Mix Design</v>
      </c>
      <c r="C62" s="7"/>
      <c r="D62" s="5"/>
      <c r="E62" s="33"/>
      <c r="F62" s="25"/>
      <c r="G62" s="25"/>
      <c r="H62" s="25" t="str">
        <f>IF(ISNUMBER(D62),IF(FP="FP-14",(IF(Units="US CUSTOMARY",80000,49600)*(1.05-1)*D62),(IF(FP="FP-24",(IF(Units="Us Customary",100000,62200)*(1.05-1)*D62)))),"-")</f>
        <v>-</v>
      </c>
    </row>
    <row r="63" spans="1:8" x14ac:dyDescent="0.2">
      <c r="A63" s="22"/>
      <c r="B63" s="7"/>
      <c r="C63" s="7"/>
      <c r="D63" s="33"/>
      <c r="E63" s="33"/>
      <c r="F63" s="25"/>
      <c r="G63" s="25"/>
      <c r="H63" s="25"/>
    </row>
    <row r="64" spans="1:8" x14ac:dyDescent="0.2">
      <c r="A64" s="7"/>
      <c r="B64" s="7"/>
      <c r="C64" s="7"/>
      <c r="D64" s="8"/>
      <c r="E64" s="8"/>
      <c r="F64" s="9"/>
      <c r="G64" s="9"/>
      <c r="H64" s="9"/>
    </row>
    <row r="65" spans="1:8" x14ac:dyDescent="0.2">
      <c r="A65" s="211" t="s">
        <v>26</v>
      </c>
      <c r="B65" s="211"/>
      <c r="C65" s="211"/>
      <c r="D65" s="211"/>
      <c r="E65" s="211"/>
      <c r="F65" s="211"/>
      <c r="G65" s="211"/>
      <c r="H65" s="34">
        <f>SUM(H60,H62)</f>
        <v>0</v>
      </c>
    </row>
    <row r="66" spans="1:8" x14ac:dyDescent="0.2">
      <c r="A66" s="7"/>
      <c r="B66" s="7"/>
      <c r="C66" s="7"/>
      <c r="D66" s="8"/>
      <c r="E66" s="8"/>
      <c r="F66" s="9"/>
      <c r="G66" s="35"/>
      <c r="H66" s="36"/>
    </row>
    <row r="67" spans="1:8" x14ac:dyDescent="0.2">
      <c r="A67" s="39" t="s">
        <v>27</v>
      </c>
      <c r="B67" s="40" t="s">
        <v>28</v>
      </c>
      <c r="C67" s="40"/>
      <c r="D67" s="8"/>
      <c r="E67" s="8"/>
      <c r="F67" s="9"/>
      <c r="G67" s="9"/>
      <c r="H67" s="9"/>
    </row>
    <row r="68" spans="1:8" x14ac:dyDescent="0.2">
      <c r="A68" s="40"/>
      <c r="B68" s="40" t="s">
        <v>29</v>
      </c>
      <c r="C68" s="40"/>
      <c r="D68" s="8"/>
      <c r="E68" s="8"/>
      <c r="F68" s="9"/>
      <c r="G68" s="9"/>
      <c r="H68" s="9"/>
    </row>
    <row r="69" spans="1:8" x14ac:dyDescent="0.2">
      <c r="A69" s="40"/>
      <c r="B69" s="40"/>
      <c r="C69" s="40"/>
      <c r="D69" s="8"/>
      <c r="E69" s="8"/>
      <c r="F69" s="9"/>
      <c r="G69" s="9"/>
      <c r="H69" s="9"/>
    </row>
    <row r="70" spans="1:8" x14ac:dyDescent="0.2">
      <c r="A70" s="39" t="s">
        <v>30</v>
      </c>
      <c r="B70" s="40" t="s">
        <v>31</v>
      </c>
      <c r="C70" s="40"/>
      <c r="D70" s="8"/>
      <c r="E70" s="8"/>
      <c r="F70" s="9"/>
      <c r="G70" s="9"/>
      <c r="H70" s="9"/>
    </row>
    <row r="71" spans="1:8" x14ac:dyDescent="0.2">
      <c r="A71" s="40"/>
      <c r="B71" s="40" t="s">
        <v>29</v>
      </c>
      <c r="C71" s="40"/>
      <c r="D71" s="8"/>
      <c r="E71" s="8"/>
      <c r="F71" s="9"/>
      <c r="G71" s="9"/>
      <c r="H71" s="9"/>
    </row>
    <row r="72" spans="1:8" x14ac:dyDescent="0.2">
      <c r="A72" s="7"/>
      <c r="B72" s="7"/>
      <c r="C72" s="40"/>
      <c r="D72" s="8"/>
      <c r="E72" s="8"/>
      <c r="F72" s="9"/>
      <c r="G72" s="9"/>
      <c r="H72" s="9"/>
    </row>
    <row r="73" spans="1:8" x14ac:dyDescent="0.2">
      <c r="A73" s="39" t="s">
        <v>32</v>
      </c>
      <c r="B73" s="40" t="s">
        <v>31</v>
      </c>
      <c r="C73" s="40"/>
      <c r="D73" s="8"/>
      <c r="E73" s="8"/>
      <c r="F73" s="9"/>
      <c r="G73" s="9"/>
      <c r="H73" s="9"/>
    </row>
    <row r="74" spans="1:8" x14ac:dyDescent="0.2">
      <c r="A74" s="40"/>
      <c r="B74" s="40" t="s">
        <v>29</v>
      </c>
      <c r="C74" s="40"/>
      <c r="D74" s="8"/>
      <c r="E74" s="8"/>
      <c r="F74" s="9"/>
      <c r="G74" s="9"/>
      <c r="H74" s="9"/>
    </row>
    <row r="75" spans="1:8" x14ac:dyDescent="0.2">
      <c r="A75" s="40"/>
      <c r="B75" s="40"/>
      <c r="C75" s="40"/>
      <c r="D75" s="8"/>
      <c r="E75" s="8"/>
      <c r="F75" s="9"/>
      <c r="G75" s="9"/>
      <c r="H75" s="9"/>
    </row>
    <row r="76" spans="1:8" x14ac:dyDescent="0.2">
      <c r="A76" s="190" t="s">
        <v>33</v>
      </c>
      <c r="B76" s="191" t="str">
        <f>"Incentive Amt = (Lane-"&amp;IF(Units="US CUSTOMARY","miles","kilometers")&amp;" x "&amp;IF(FP="FP-14",IF(Units="US CUSTOMARY","80,000 x 0.05)","49,600 x 0.05)"),IF(FP="FP-24",IF(Units="US CUSTOMARY","100,000 x 0.05)","62,200 x 0.05)")))</f>
        <v>Incentive Amt = (Lane-miles x 100,000 x 0.05)</v>
      </c>
      <c r="C76" s="40"/>
      <c r="D76" s="8"/>
      <c r="E76" s="8"/>
      <c r="F76" s="9"/>
      <c r="G76" s="9"/>
      <c r="H76" s="9"/>
    </row>
    <row r="77" spans="1:8" x14ac:dyDescent="0.2">
      <c r="A77" s="190"/>
      <c r="B77" s="191"/>
      <c r="C77" s="40"/>
      <c r="D77" s="8"/>
      <c r="E77" s="8"/>
      <c r="F77" s="9"/>
      <c r="G77" s="9"/>
      <c r="H77" s="9"/>
    </row>
    <row r="78" spans="1:8" x14ac:dyDescent="0.2">
      <c r="A78" s="190"/>
      <c r="B78" s="191"/>
      <c r="C78" s="40"/>
      <c r="D78" s="8"/>
      <c r="E78" s="8"/>
      <c r="F78" s="9"/>
      <c r="G78" s="9"/>
      <c r="H78" s="9"/>
    </row>
    <row r="79" spans="1:8" ht="18" x14ac:dyDescent="0.25">
      <c r="A79" s="208" t="s">
        <v>34</v>
      </c>
      <c r="B79" s="208"/>
      <c r="C79" s="208"/>
      <c r="D79" s="208"/>
      <c r="E79" s="208"/>
      <c r="F79" s="208"/>
      <c r="G79" s="208"/>
      <c r="H79" s="208"/>
    </row>
    <row r="80" spans="1:8" x14ac:dyDescent="0.2">
      <c r="A80" s="7"/>
      <c r="B80" s="7"/>
      <c r="C80" s="11" t="s">
        <v>1</v>
      </c>
      <c r="D80" s="12" t="str">
        <f>+Sheet1!D2</f>
        <v>FP-24</v>
      </c>
      <c r="E80" s="8"/>
      <c r="F80" s="9"/>
      <c r="G80" s="9"/>
      <c r="H80" s="9"/>
    </row>
    <row r="81" spans="1:8" x14ac:dyDescent="0.2">
      <c r="A81" s="7"/>
      <c r="B81" s="7"/>
      <c r="C81" s="7"/>
      <c r="D81" s="10"/>
      <c r="E81" s="8"/>
      <c r="F81" s="9"/>
      <c r="G81" s="9"/>
      <c r="H81" s="9"/>
    </row>
    <row r="82" spans="1:8" x14ac:dyDescent="0.2">
      <c r="A82" s="11" t="s">
        <v>3</v>
      </c>
      <c r="B82" s="206" t="str">
        <f>+B4</f>
        <v>AZ Heidi Test(1)</v>
      </c>
      <c r="C82" s="206"/>
      <c r="D82" s="12"/>
      <c r="E82" s="12"/>
      <c r="F82" s="13"/>
      <c r="G82" s="14" t="s">
        <v>5</v>
      </c>
      <c r="H82" s="15">
        <f ca="1" xml:space="preserve"> TODAY()</f>
        <v>45532</v>
      </c>
    </row>
    <row r="83" spans="1:8" ht="4.5" customHeight="1" x14ac:dyDescent="0.2">
      <c r="A83" s="11"/>
      <c r="B83" s="206"/>
      <c r="C83" s="206"/>
      <c r="D83" s="12"/>
      <c r="E83" s="12"/>
      <c r="F83" s="13"/>
      <c r="G83" s="14"/>
      <c r="H83" s="15"/>
    </row>
    <row r="84" spans="1:8" x14ac:dyDescent="0.2">
      <c r="A84" s="11" t="s">
        <v>6</v>
      </c>
      <c r="B84" s="212" t="str">
        <f>+B6</f>
        <v>Heidi National Park</v>
      </c>
      <c r="C84" s="212"/>
      <c r="D84" s="212"/>
      <c r="E84" s="212"/>
      <c r="F84" s="212"/>
      <c r="G84" s="14" t="str">
        <f>+G6</f>
        <v xml:space="preserve">Schedule Type: </v>
      </c>
      <c r="H84" s="16" t="str">
        <f>+H6</f>
        <v>Option</v>
      </c>
    </row>
    <row r="85" spans="1:8" x14ac:dyDescent="0.2">
      <c r="A85" s="11"/>
      <c r="B85" s="206"/>
      <c r="C85" s="206"/>
      <c r="D85" s="206"/>
      <c r="E85" s="206"/>
      <c r="F85" s="206"/>
      <c r="G85" s="14" t="str">
        <f>+G8</f>
        <v>Schedule Letter:</v>
      </c>
      <c r="H85" s="16" t="str">
        <f>+H8</f>
        <v>Z</v>
      </c>
    </row>
    <row r="86" spans="1:8" x14ac:dyDescent="0.2">
      <c r="A86" s="7"/>
      <c r="B86" s="7"/>
      <c r="C86" s="7"/>
      <c r="D86" s="8"/>
      <c r="E86" s="8"/>
      <c r="F86" s="9"/>
      <c r="G86" s="14" t="s">
        <v>12</v>
      </c>
      <c r="H86" s="13" t="str">
        <f>+Units</f>
        <v>US CUSTOMARY</v>
      </c>
    </row>
    <row r="87" spans="1:8" ht="6.75" customHeight="1" thickBot="1" x14ac:dyDescent="0.25">
      <c r="A87" s="7"/>
      <c r="B87" s="7"/>
      <c r="C87" s="7"/>
      <c r="D87" s="8"/>
      <c r="E87" s="8"/>
      <c r="F87" s="9"/>
      <c r="G87" s="14"/>
      <c r="H87" s="13"/>
    </row>
    <row r="88" spans="1:8" ht="19.5" customHeight="1" thickBot="1" x14ac:dyDescent="0.25">
      <c r="A88" s="129" t="s">
        <v>35</v>
      </c>
      <c r="B88" s="130"/>
      <c r="C88" s="130"/>
      <c r="D88" s="130"/>
      <c r="E88" s="130"/>
      <c r="F88" s="130"/>
      <c r="G88" s="130"/>
      <c r="H88" s="131"/>
    </row>
    <row r="89" spans="1:8" ht="5.25" customHeight="1" x14ac:dyDescent="0.2">
      <c r="A89" s="17"/>
      <c r="B89" s="43"/>
      <c r="C89" s="43"/>
      <c r="D89" s="44"/>
      <c r="E89" s="45"/>
      <c r="F89" s="44"/>
      <c r="G89" s="44"/>
      <c r="H89" s="44"/>
    </row>
    <row r="90" spans="1:8" x14ac:dyDescent="0.2">
      <c r="A90" s="56" t="s">
        <v>36</v>
      </c>
      <c r="B90" s="57"/>
      <c r="C90" s="58" t="s">
        <v>37</v>
      </c>
      <c r="D90" s="59" t="str">
        <f>IF(Units="US CUSTOMARY"," CUYD"," m3")</f>
        <v xml:space="preserve"> CUYD</v>
      </c>
      <c r="E90" s="60"/>
      <c r="F90" s="61" t="s">
        <v>38</v>
      </c>
      <c r="G90" s="44"/>
      <c r="H90" s="44"/>
    </row>
    <row r="91" spans="1:8" x14ac:dyDescent="0.2">
      <c r="A91" s="87">
        <v>20401</v>
      </c>
      <c r="B91" s="88" t="s">
        <v>39</v>
      </c>
      <c r="C91" s="215">
        <f>IF(Units="US Customary", 0.3, 0.39)</f>
        <v>0.3</v>
      </c>
      <c r="D91" s="90"/>
      <c r="E91" s="91"/>
      <c r="F91" s="108" t="str">
        <f>IF(ISNUMBER(D91),+C$91*D91, "-")</f>
        <v>-</v>
      </c>
      <c r="G91" s="25"/>
      <c r="H91" s="25"/>
    </row>
    <row r="92" spans="1:8" ht="12.75" customHeight="1" x14ac:dyDescent="0.2">
      <c r="A92" s="87">
        <v>20402</v>
      </c>
      <c r="B92" s="88" t="s">
        <v>40</v>
      </c>
      <c r="C92" s="216"/>
      <c r="D92" s="90"/>
      <c r="E92" s="91"/>
      <c r="F92" s="108" t="str">
        <f t="shared" ref="F92:F100" si="1">IF(ISNUMBER(D92),+C$91*D92, "-")</f>
        <v>-</v>
      </c>
      <c r="G92" s="25"/>
      <c r="H92" s="25"/>
    </row>
    <row r="93" spans="1:8" ht="12.75" customHeight="1" x14ac:dyDescent="0.2">
      <c r="A93" s="87">
        <v>20403</v>
      </c>
      <c r="B93" s="88" t="s">
        <v>41</v>
      </c>
      <c r="C93" s="216"/>
      <c r="D93" s="90"/>
      <c r="E93" s="91"/>
      <c r="F93" s="108" t="str">
        <f t="shared" si="1"/>
        <v>-</v>
      </c>
      <c r="G93" s="25"/>
      <c r="H93" s="25"/>
    </row>
    <row r="94" spans="1:8" ht="12.75" customHeight="1" x14ac:dyDescent="0.2">
      <c r="A94" s="87">
        <v>20404</v>
      </c>
      <c r="B94" s="89" t="s">
        <v>42</v>
      </c>
      <c r="C94" s="216"/>
      <c r="D94" s="90"/>
      <c r="E94" s="91"/>
      <c r="F94" s="108" t="str">
        <f t="shared" si="1"/>
        <v>-</v>
      </c>
      <c r="G94" s="25"/>
      <c r="H94" s="25"/>
    </row>
    <row r="95" spans="1:8" ht="12.75" customHeight="1" x14ac:dyDescent="0.2">
      <c r="A95" s="87">
        <v>20410</v>
      </c>
      <c r="B95" s="89" t="s">
        <v>43</v>
      </c>
      <c r="C95" s="216"/>
      <c r="D95" s="90"/>
      <c r="E95" s="91"/>
      <c r="F95" s="108" t="str">
        <f t="shared" si="1"/>
        <v>-</v>
      </c>
      <c r="G95" s="25"/>
      <c r="H95" s="25"/>
    </row>
    <row r="96" spans="1:8" ht="12.75" customHeight="1" x14ac:dyDescent="0.2">
      <c r="A96" s="87">
        <v>20411</v>
      </c>
      <c r="B96" s="89" t="s">
        <v>44</v>
      </c>
      <c r="C96" s="216"/>
      <c r="D96" s="90"/>
      <c r="E96" s="91"/>
      <c r="F96" s="108" t="str">
        <f t="shared" si="1"/>
        <v>-</v>
      </c>
      <c r="G96" s="25"/>
      <c r="H96" s="25"/>
    </row>
    <row r="97" spans="1:8" ht="12.75" customHeight="1" x14ac:dyDescent="0.2">
      <c r="A97" s="87" t="str">
        <f>IF(FP="FP-24","-","20415")</f>
        <v>-</v>
      </c>
      <c r="B97" s="88" t="str">
        <f>IF(FP="FP-24","                      -","Select topping")</f>
        <v xml:space="preserve">                      -</v>
      </c>
      <c r="C97" s="216"/>
      <c r="D97" s="90"/>
      <c r="E97" s="91"/>
      <c r="F97" s="108" t="str">
        <f t="shared" si="1"/>
        <v>-</v>
      </c>
      <c r="G97" s="25"/>
      <c r="H97" s="25"/>
    </row>
    <row r="98" spans="1:8" ht="12.75" customHeight="1" x14ac:dyDescent="0.2">
      <c r="A98" s="87" t="str">
        <f>IF(FP="FP-24","-","20416")</f>
        <v>-</v>
      </c>
      <c r="B98" s="88" t="str">
        <f>IF(FP="FP-24","                      -","Select topping")</f>
        <v xml:space="preserve">                      -</v>
      </c>
      <c r="C98" s="216"/>
      <c r="D98" s="90"/>
      <c r="E98" s="91"/>
      <c r="F98" s="108" t="str">
        <f t="shared" si="1"/>
        <v>-</v>
      </c>
      <c r="G98" s="25"/>
      <c r="H98" s="25"/>
    </row>
    <row r="99" spans="1:8" ht="12.75" customHeight="1" x14ac:dyDescent="0.2">
      <c r="A99" s="87">
        <v>20420</v>
      </c>
      <c r="B99" s="89" t="s">
        <v>45</v>
      </c>
      <c r="C99" s="216"/>
      <c r="D99" s="90"/>
      <c r="E99" s="91"/>
      <c r="F99" s="108" t="str">
        <f t="shared" si="1"/>
        <v>-</v>
      </c>
      <c r="G99" s="25"/>
      <c r="H99" s="25"/>
    </row>
    <row r="100" spans="1:8" ht="12.75" customHeight="1" x14ac:dyDescent="0.2">
      <c r="A100" s="87">
        <v>20421</v>
      </c>
      <c r="B100" s="89" t="s">
        <v>46</v>
      </c>
      <c r="C100" s="216"/>
      <c r="D100" s="90"/>
      <c r="E100" s="91"/>
      <c r="F100" s="108" t="str">
        <f t="shared" si="1"/>
        <v>-</v>
      </c>
      <c r="G100" s="25"/>
      <c r="H100" s="25"/>
    </row>
    <row r="101" spans="1:8" x14ac:dyDescent="0.2">
      <c r="A101" s="62" t="s">
        <v>47</v>
      </c>
      <c r="B101" s="63"/>
      <c r="C101" s="58" t="s">
        <v>37</v>
      </c>
      <c r="D101" s="59" t="str">
        <f>IF(Units="US CUSTOMARY"," Tons"," tonnes")</f>
        <v xml:space="preserve"> Tons</v>
      </c>
      <c r="E101" s="60"/>
      <c r="F101" s="61" t="s">
        <v>38</v>
      </c>
      <c r="G101" s="25"/>
      <c r="H101" s="25"/>
    </row>
    <row r="102" spans="1:8" x14ac:dyDescent="0.2">
      <c r="A102" s="87">
        <v>30101</v>
      </c>
      <c r="B102" s="89" t="s">
        <v>48</v>
      </c>
      <c r="C102" s="217">
        <f>IF(Units="US Customary", 0.7, 0.77)</f>
        <v>0.7</v>
      </c>
      <c r="D102" s="90"/>
      <c r="E102" s="91"/>
      <c r="F102" s="108" t="str">
        <f>IF(ISNUMBER(D102),+C$102*D102, "-")</f>
        <v>-</v>
      </c>
      <c r="G102" s="25"/>
      <c r="H102" s="25"/>
    </row>
    <row r="103" spans="1:8" x14ac:dyDescent="0.2">
      <c r="A103" s="87">
        <v>30102</v>
      </c>
      <c r="B103" s="89" t="s">
        <v>49</v>
      </c>
      <c r="C103" s="218"/>
      <c r="D103" s="90"/>
      <c r="E103" s="91"/>
      <c r="F103" s="108" t="str">
        <f t="shared" ref="F103:F110" si="2">IF(ISNUMBER(D103),+C$102*D103, "-")</f>
        <v>-</v>
      </c>
      <c r="G103" s="25"/>
      <c r="H103" s="25"/>
    </row>
    <row r="104" spans="1:8" x14ac:dyDescent="0.2">
      <c r="A104" s="87">
        <v>30103</v>
      </c>
      <c r="B104" s="89" t="s">
        <v>49</v>
      </c>
      <c r="C104" s="218"/>
      <c r="D104" s="90"/>
      <c r="E104" s="91"/>
      <c r="F104" s="108" t="str">
        <f t="shared" si="2"/>
        <v>-</v>
      </c>
      <c r="G104" s="25"/>
      <c r="H104" s="25"/>
    </row>
    <row r="105" spans="1:8" x14ac:dyDescent="0.2">
      <c r="A105" s="135">
        <v>30105</v>
      </c>
      <c r="B105" s="136" t="s">
        <v>50</v>
      </c>
      <c r="C105" s="218"/>
      <c r="D105" s="90"/>
      <c r="E105" s="91"/>
      <c r="F105" s="108" t="str">
        <f t="shared" si="2"/>
        <v>-</v>
      </c>
      <c r="G105" s="25"/>
      <c r="H105" s="25"/>
    </row>
    <row r="106" spans="1:8" x14ac:dyDescent="0.2">
      <c r="A106" s="135">
        <v>30106</v>
      </c>
      <c r="B106" s="136" t="s">
        <v>51</v>
      </c>
      <c r="C106" s="218"/>
      <c r="D106" s="90"/>
      <c r="E106" s="91"/>
      <c r="F106" s="108" t="str">
        <f t="shared" si="2"/>
        <v>-</v>
      </c>
      <c r="G106" s="25"/>
      <c r="H106" s="25"/>
    </row>
    <row r="107" spans="1:8" x14ac:dyDescent="0.2">
      <c r="A107" s="135">
        <v>30107</v>
      </c>
      <c r="B107" s="136" t="s">
        <v>51</v>
      </c>
      <c r="C107" s="218"/>
      <c r="D107" s="90"/>
      <c r="E107" s="91"/>
      <c r="F107" s="108" t="str">
        <f t="shared" si="2"/>
        <v>-</v>
      </c>
      <c r="G107" s="25"/>
      <c r="H107" s="25"/>
    </row>
    <row r="108" spans="1:8" x14ac:dyDescent="0.2">
      <c r="A108" s="135">
        <v>30110</v>
      </c>
      <c r="B108" s="136" t="s">
        <v>52</v>
      </c>
      <c r="C108" s="218"/>
      <c r="D108" s="90"/>
      <c r="E108" s="91"/>
      <c r="F108" s="108" t="str">
        <f t="shared" si="2"/>
        <v>-</v>
      </c>
      <c r="G108" s="25"/>
      <c r="H108" s="25"/>
    </row>
    <row r="109" spans="1:8" x14ac:dyDescent="0.2">
      <c r="A109" s="135">
        <v>30111</v>
      </c>
      <c r="B109" s="136" t="s">
        <v>53</v>
      </c>
      <c r="C109" s="218"/>
      <c r="D109" s="90"/>
      <c r="E109" s="91"/>
      <c r="F109" s="108" t="str">
        <f t="shared" si="2"/>
        <v>-</v>
      </c>
      <c r="G109" s="25"/>
      <c r="H109" s="25"/>
    </row>
    <row r="110" spans="1:8" x14ac:dyDescent="0.2">
      <c r="A110" s="135">
        <v>30112</v>
      </c>
      <c r="B110" s="136" t="s">
        <v>53</v>
      </c>
      <c r="C110" s="218"/>
      <c r="D110" s="90"/>
      <c r="E110" s="91"/>
      <c r="F110" s="108" t="str">
        <f t="shared" si="2"/>
        <v>-</v>
      </c>
      <c r="G110" s="25"/>
      <c r="H110" s="25"/>
    </row>
    <row r="111" spans="1:8" x14ac:dyDescent="0.2">
      <c r="A111" s="62" t="s">
        <v>54</v>
      </c>
      <c r="B111" s="63"/>
      <c r="C111" s="58" t="s">
        <v>37</v>
      </c>
      <c r="D111" s="59" t="str">
        <f>IF(Units="US CUSTOMARY"," SQYD","m2")</f>
        <v xml:space="preserve"> SQYD</v>
      </c>
      <c r="E111" s="64"/>
      <c r="F111" s="61" t="s">
        <v>38</v>
      </c>
      <c r="G111" s="25"/>
      <c r="H111" s="25"/>
    </row>
    <row r="112" spans="1:8" x14ac:dyDescent="0.2">
      <c r="A112" s="87" t="s">
        <v>55</v>
      </c>
      <c r="B112" s="88" t="s">
        <v>56</v>
      </c>
      <c r="C112" s="218">
        <f>IF(Units="US Customary", 0.3, 0.36)</f>
        <v>0.3</v>
      </c>
      <c r="D112" s="90"/>
      <c r="E112" s="91"/>
      <c r="F112" s="108" t="str">
        <f>IF(ISNUMBER(D112),+C$112*D112, "-")</f>
        <v>-</v>
      </c>
      <c r="G112" s="25"/>
      <c r="H112" s="25"/>
    </row>
    <row r="113" spans="1:8" x14ac:dyDescent="0.2">
      <c r="A113" s="87" t="s">
        <v>57</v>
      </c>
      <c r="B113" s="88" t="s">
        <v>58</v>
      </c>
      <c r="C113" s="218"/>
      <c r="D113" s="90"/>
      <c r="E113" s="91"/>
      <c r="F113" s="108" t="str">
        <f>IF(ISNUMBER(D113),+C$112*D113, "-")</f>
        <v>-</v>
      </c>
      <c r="G113" s="25"/>
      <c r="H113" s="25"/>
    </row>
    <row r="114" spans="1:8" x14ac:dyDescent="0.2">
      <c r="A114" s="62" t="s">
        <v>59</v>
      </c>
      <c r="B114" s="65"/>
      <c r="C114" s="58" t="s">
        <v>37</v>
      </c>
      <c r="D114" s="59" t="str">
        <f>IF(Units="US CUSTOMARY"," SQYD","m2")</f>
        <v xml:space="preserve"> SQYD</v>
      </c>
      <c r="E114" s="64"/>
      <c r="F114" s="61" t="s">
        <v>38</v>
      </c>
      <c r="G114" s="25"/>
      <c r="H114" s="25"/>
    </row>
    <row r="115" spans="1:8" ht="12.75" customHeight="1" x14ac:dyDescent="0.2">
      <c r="A115" s="87" t="s">
        <v>60</v>
      </c>
      <c r="B115" s="92" t="s">
        <v>61</v>
      </c>
      <c r="C115" s="217">
        <f>IF(Units="US Customary", 0.3, 0.36)</f>
        <v>0.3</v>
      </c>
      <c r="D115" s="90"/>
      <c r="E115" s="91"/>
      <c r="F115" s="108" t="str">
        <f>IF(ISNUMBER(D115),+C$115*D115, "-")</f>
        <v>-</v>
      </c>
      <c r="G115" s="73"/>
      <c r="H115" s="25"/>
    </row>
    <row r="116" spans="1:8" ht="12.75" customHeight="1" x14ac:dyDescent="0.2">
      <c r="A116" s="87" t="s">
        <v>62</v>
      </c>
      <c r="B116" s="92" t="s">
        <v>63</v>
      </c>
      <c r="C116" s="218"/>
      <c r="D116" s="90"/>
      <c r="E116" s="91"/>
      <c r="F116" s="108" t="str">
        <f t="shared" ref="F116:F118" si="3">IF(ISNUMBER(D116),+C$115*D116, "-")</f>
        <v>-</v>
      </c>
      <c r="G116" s="73"/>
      <c r="H116" s="25"/>
    </row>
    <row r="117" spans="1:8" ht="12.75" customHeight="1" x14ac:dyDescent="0.2">
      <c r="A117" s="87" t="s">
        <v>64</v>
      </c>
      <c r="B117" s="92" t="s">
        <v>65</v>
      </c>
      <c r="C117" s="218"/>
      <c r="D117" s="90"/>
      <c r="E117" s="91"/>
      <c r="F117" s="108" t="str">
        <f t="shared" si="3"/>
        <v>-</v>
      </c>
      <c r="G117" s="73"/>
      <c r="H117" s="25"/>
    </row>
    <row r="118" spans="1:8" ht="12.75" customHeight="1" x14ac:dyDescent="0.2">
      <c r="A118" s="93" t="s">
        <v>66</v>
      </c>
      <c r="B118" s="94" t="s">
        <v>67</v>
      </c>
      <c r="C118" s="218"/>
      <c r="D118" s="95"/>
      <c r="E118" s="96"/>
      <c r="F118" s="108" t="str">
        <f t="shared" si="3"/>
        <v>-</v>
      </c>
      <c r="G118" s="73"/>
      <c r="H118" s="25"/>
    </row>
    <row r="119" spans="1:8" x14ac:dyDescent="0.2">
      <c r="A119" s="67" t="str">
        <f>IF(FP="FP-24","Section 308 - Emulsified Asphalt-Treated Base Course","Section 309 - Emulsified Asphalt-Treated Base Course")</f>
        <v>Section 308 - Emulsified Asphalt-Treated Base Course</v>
      </c>
      <c r="B119" s="63"/>
      <c r="C119" s="58" t="s">
        <v>37</v>
      </c>
      <c r="D119" s="59" t="str">
        <f>IF(Units="US CUSTOMARY"," Tons"," tonnes")</f>
        <v xml:space="preserve"> Tons</v>
      </c>
      <c r="E119" s="64"/>
      <c r="F119" s="66" t="s">
        <v>38</v>
      </c>
      <c r="G119" s="25"/>
      <c r="H119" s="25"/>
    </row>
    <row r="120" spans="1:8" x14ac:dyDescent="0.2">
      <c r="A120" s="97" t="str">
        <f>IF(FP="FP-24","30801","30901")</f>
        <v>30801</v>
      </c>
      <c r="B120" s="89" t="str">
        <f>IF(FP="FP-24","Emulsified asphalt-treated aggregate base","Emulsified asphalt-treated aggregate base")</f>
        <v>Emulsified asphalt-treated aggregate base</v>
      </c>
      <c r="C120" s="217">
        <f>IF(Units="US Customary", 0.7, 0.77)</f>
        <v>0.7</v>
      </c>
      <c r="D120" s="90"/>
      <c r="E120" s="91"/>
      <c r="F120" s="108" t="str">
        <f>IF(ISNUMBER(D120),+C$120*D120, "-")</f>
        <v>-</v>
      </c>
      <c r="G120" s="25"/>
      <c r="H120" s="25"/>
    </row>
    <row r="121" spans="1:8" ht="12.75" customHeight="1" x14ac:dyDescent="0.2">
      <c r="A121" s="97" t="str">
        <f>IF(FP="FP-24","30802","30902")</f>
        <v>30802</v>
      </c>
      <c r="B121" s="89" t="str">
        <f>IF(FP="FP-24","Emulsified asphalt-treated aggregate base*","Emulsified asphalt-treated aggregate base*")</f>
        <v>Emulsified asphalt-treated aggregate base*</v>
      </c>
      <c r="C121" s="218"/>
      <c r="D121" s="90"/>
      <c r="E121" s="91"/>
      <c r="F121" s="108" t="str">
        <f t="shared" ref="F121:F122" si="4">IF(ISNUMBER(D121),+C$120*D121, "-")</f>
        <v>-</v>
      </c>
      <c r="G121" s="25"/>
      <c r="H121" s="25"/>
    </row>
    <row r="122" spans="1:8" ht="12.75" customHeight="1" x14ac:dyDescent="0.2">
      <c r="A122" s="97" t="str">
        <f>IF(FP="FP-24","30803","30903")</f>
        <v>30803</v>
      </c>
      <c r="B122" s="89" t="str">
        <f>IF(FP="FP-24","Emulsified asphalt-treated aggregate base*","Emulsified asphalt-treated aggregate base*")</f>
        <v>Emulsified asphalt-treated aggregate base*</v>
      </c>
      <c r="C122" s="218"/>
      <c r="D122" s="90"/>
      <c r="E122" s="91"/>
      <c r="F122" s="108" t="str">
        <f t="shared" si="4"/>
        <v>-</v>
      </c>
      <c r="G122" s="25"/>
      <c r="H122" s="25"/>
    </row>
    <row r="123" spans="1:8" x14ac:dyDescent="0.2">
      <c r="A123" s="67" t="s">
        <v>68</v>
      </c>
      <c r="B123" s="68"/>
      <c r="C123" s="58" t="s">
        <v>37</v>
      </c>
      <c r="D123" s="77" t="str">
        <f>IF(Units="US CUSTOMARY"," SQYD","m2")</f>
        <v xml:space="preserve"> SQYD</v>
      </c>
      <c r="E123" s="64"/>
      <c r="F123" s="66" t="s">
        <v>38</v>
      </c>
      <c r="G123" s="78"/>
      <c r="H123" s="25"/>
    </row>
    <row r="124" spans="1:8" ht="12.75" customHeight="1" x14ac:dyDescent="0.2">
      <c r="A124" s="97" t="s">
        <v>69</v>
      </c>
      <c r="B124" s="89" t="s">
        <v>70</v>
      </c>
      <c r="C124" s="218">
        <f>IF(Units="US Customary", 0.15, 0.18)</f>
        <v>0.15</v>
      </c>
      <c r="D124" s="90"/>
      <c r="E124" s="91"/>
      <c r="F124" s="108" t="str">
        <f>IF(ISNUMBER(D124),+C$124*D124, "-")</f>
        <v>-</v>
      </c>
      <c r="G124" s="25"/>
      <c r="H124" s="25"/>
    </row>
    <row r="125" spans="1:8" ht="12.75" customHeight="1" x14ac:dyDescent="0.2">
      <c r="A125" s="100" t="s">
        <v>71</v>
      </c>
      <c r="B125" s="192" t="s">
        <v>72</v>
      </c>
      <c r="C125" s="218"/>
      <c r="D125" s="95"/>
      <c r="E125" s="96"/>
      <c r="F125" s="108" t="str">
        <f>IF(ISNUMBER(D125),+C$124*D125, "-")</f>
        <v>-</v>
      </c>
      <c r="G125" s="25"/>
      <c r="H125" s="25"/>
    </row>
    <row r="126" spans="1:8" x14ac:dyDescent="0.2">
      <c r="A126" s="67" t="s">
        <v>73</v>
      </c>
      <c r="B126" s="68"/>
      <c r="C126" s="58" t="s">
        <v>37</v>
      </c>
      <c r="D126" s="77" t="str">
        <f>IF(Units="US CUSTOMARY"," Tons"," tonnes")</f>
        <v xml:space="preserve"> Tons</v>
      </c>
      <c r="E126" s="64"/>
      <c r="F126" s="66" t="s">
        <v>38</v>
      </c>
      <c r="G126" s="25"/>
      <c r="H126" s="25"/>
    </row>
    <row r="127" spans="1:8" ht="12.75" customHeight="1" x14ac:dyDescent="0.2">
      <c r="A127" s="97" t="s">
        <v>74</v>
      </c>
      <c r="B127" s="89" t="s">
        <v>75</v>
      </c>
      <c r="C127" s="219">
        <f>IF(Units="US Customary", 0.7, 0.77)</f>
        <v>0.7</v>
      </c>
      <c r="D127" s="90"/>
      <c r="E127" s="91"/>
      <c r="F127" s="108" t="str">
        <f>IF(ISNUMBER(D127),+C$127*D127, "-")</f>
        <v>-</v>
      </c>
      <c r="G127" s="78"/>
      <c r="H127" s="25"/>
    </row>
    <row r="128" spans="1:8" ht="12.75" customHeight="1" x14ac:dyDescent="0.2">
      <c r="A128" s="100" t="s">
        <v>76</v>
      </c>
      <c r="B128" s="192" t="s">
        <v>75</v>
      </c>
      <c r="C128" s="219"/>
      <c r="D128" s="95"/>
      <c r="E128" s="96"/>
      <c r="F128" s="108" t="str">
        <f t="shared" ref="F128:F129" si="5">IF(ISNUMBER(D128),+C$127*D128, "-")</f>
        <v>-</v>
      </c>
      <c r="G128" s="25"/>
      <c r="H128" s="25"/>
    </row>
    <row r="129" spans="1:8" ht="12.75" customHeight="1" x14ac:dyDescent="0.2">
      <c r="A129" s="97" t="s">
        <v>77</v>
      </c>
      <c r="B129" s="89" t="s">
        <v>78</v>
      </c>
      <c r="C129" s="220"/>
      <c r="D129" s="90"/>
      <c r="E129" s="91"/>
      <c r="F129" s="108" t="str">
        <f t="shared" si="5"/>
        <v>-</v>
      </c>
      <c r="G129" s="25"/>
      <c r="H129" s="25"/>
    </row>
    <row r="130" spans="1:8" x14ac:dyDescent="0.2">
      <c r="A130" s="67" t="s">
        <v>79</v>
      </c>
      <c r="B130" s="68"/>
      <c r="C130" s="76" t="s">
        <v>37</v>
      </c>
      <c r="D130" s="77" t="str">
        <f>IF(Units="US CUSTOMARY"," Tons"," tonnes")</f>
        <v xml:space="preserve"> Tons</v>
      </c>
      <c r="E130" s="71"/>
      <c r="F130" s="75" t="s">
        <v>38</v>
      </c>
      <c r="G130" s="25"/>
      <c r="H130" s="25"/>
    </row>
    <row r="131" spans="1:8" ht="12.75" customHeight="1" x14ac:dyDescent="0.2">
      <c r="A131" s="97" t="s">
        <v>80</v>
      </c>
      <c r="B131" s="89" t="s">
        <v>81</v>
      </c>
      <c r="C131" s="219">
        <f>IF(Units="US Customary",2.4, 2.65)</f>
        <v>2.4</v>
      </c>
      <c r="D131" s="98"/>
      <c r="E131" s="99"/>
      <c r="F131" s="137" t="str">
        <f>IF(ISNUMBER(D131),+C$131*D131, "-")</f>
        <v>-</v>
      </c>
      <c r="G131" s="78"/>
      <c r="H131" s="25"/>
    </row>
    <row r="132" spans="1:8" ht="22.5" x14ac:dyDescent="0.2">
      <c r="A132" s="100" t="s">
        <v>82</v>
      </c>
      <c r="B132" s="101" t="s">
        <v>83</v>
      </c>
      <c r="C132" s="219"/>
      <c r="D132" s="102"/>
      <c r="E132" s="103"/>
      <c r="F132" s="137" t="str">
        <f>IF(ISNUMBER(D132),+C$131*D132, "-")</f>
        <v>-</v>
      </c>
      <c r="G132" s="25"/>
      <c r="H132" s="25"/>
    </row>
    <row r="133" spans="1:8" ht="28.5" customHeight="1" x14ac:dyDescent="0.25">
      <c r="A133" s="213" t="s">
        <v>84</v>
      </c>
      <c r="B133" s="214"/>
      <c r="C133" s="82" t="s">
        <v>37</v>
      </c>
      <c r="D133" s="83" t="str">
        <f>IF(Units="US CUSTOMARY"," Tons"," tonnes")</f>
        <v xml:space="preserve"> Tons</v>
      </c>
      <c r="E133" s="84"/>
      <c r="F133" s="85" t="s">
        <v>38</v>
      </c>
      <c r="G133" s="25"/>
      <c r="H133" s="25"/>
    </row>
    <row r="134" spans="1:8" ht="12.75" customHeight="1" x14ac:dyDescent="0.2">
      <c r="A134" s="97" t="s">
        <v>85</v>
      </c>
      <c r="B134" s="89" t="s">
        <v>86</v>
      </c>
      <c r="C134" s="219">
        <f>IF(Units="US Customary",2.4, 2.65)</f>
        <v>2.4</v>
      </c>
      <c r="D134" s="98"/>
      <c r="E134" s="99"/>
      <c r="F134" s="137" t="str">
        <f>IF(ISNUMBER(D134),+C$134*D134, "-")</f>
        <v>-</v>
      </c>
      <c r="G134" s="78"/>
      <c r="H134" s="25"/>
    </row>
    <row r="135" spans="1:8" ht="23.25" customHeight="1" x14ac:dyDescent="0.2">
      <c r="A135" s="100" t="s">
        <v>87</v>
      </c>
      <c r="B135" s="101" t="s">
        <v>88</v>
      </c>
      <c r="C135" s="219"/>
      <c r="D135" s="102"/>
      <c r="E135" s="103"/>
      <c r="F135" s="137" t="str">
        <f>IF(ISNUMBER(D135),+C$134*D135, "-")</f>
        <v>-</v>
      </c>
      <c r="G135" s="25"/>
      <c r="H135" s="25"/>
    </row>
    <row r="136" spans="1:8" ht="15" x14ac:dyDescent="0.2">
      <c r="A136" s="221" t="str">
        <f>IF(FP="FP-24","Section 405 - Open-Graded Asphalt Friction","Section 405 - Open-Graded Asphalt Friction")</f>
        <v>Section 405 - Open-Graded Asphalt Friction</v>
      </c>
      <c r="B136" s="222"/>
      <c r="C136" s="76" t="s">
        <v>37</v>
      </c>
      <c r="D136" s="77" t="str">
        <f>IF(Units="US CUSTOMARY"," Tons"," tonnes")</f>
        <v xml:space="preserve"> Tons</v>
      </c>
      <c r="E136" s="71"/>
      <c r="F136" s="75" t="s">
        <v>38</v>
      </c>
      <c r="G136" s="48"/>
      <c r="H136" s="48"/>
    </row>
    <row r="137" spans="1:8" ht="15" x14ac:dyDescent="0.2">
      <c r="A137" s="97" t="str">
        <f>IF(FP="FP-03","40501","40501")</f>
        <v>40501</v>
      </c>
      <c r="B137" s="70" t="str">
        <f>IF(FP="FP-03","Continuous cold recylced aphalt base","Open-graded asphalt friction course")</f>
        <v>Open-graded asphalt friction course</v>
      </c>
      <c r="C137" s="142">
        <f>IF(Units="US Customary",2.4, 2.65)</f>
        <v>2.4</v>
      </c>
      <c r="D137" s="98"/>
      <c r="E137" s="99"/>
      <c r="F137" s="137" t="str">
        <f>IF(ISNUMBER(D137),+C$137*D137, "-")</f>
        <v>-</v>
      </c>
      <c r="G137" s="80"/>
      <c r="H137" s="17"/>
    </row>
    <row r="138" spans="1:8" ht="15" x14ac:dyDescent="0.25">
      <c r="A138" s="189" t="s">
        <v>104</v>
      </c>
      <c r="B138" s="104"/>
      <c r="C138" s="138"/>
      <c r="D138" s="147"/>
      <c r="E138" s="105"/>
      <c r="F138" s="139"/>
      <c r="G138" s="44"/>
      <c r="H138" s="44"/>
    </row>
    <row r="139" spans="1:8" ht="15" x14ac:dyDescent="0.25">
      <c r="A139" s="189"/>
      <c r="B139" s="81"/>
      <c r="C139" s="140"/>
      <c r="D139" s="148"/>
      <c r="E139" s="106"/>
      <c r="F139" s="141"/>
      <c r="G139" s="44"/>
      <c r="H139" s="44"/>
    </row>
    <row r="140" spans="1:8" ht="15" x14ac:dyDescent="0.25">
      <c r="A140" s="189"/>
      <c r="B140" s="81"/>
      <c r="C140" s="140"/>
      <c r="D140" s="148"/>
      <c r="E140" s="106"/>
      <c r="F140" s="141"/>
      <c r="G140" s="44"/>
      <c r="H140" s="44"/>
    </row>
    <row r="141" spans="1:8" ht="15" x14ac:dyDescent="0.25">
      <c r="A141" s="189"/>
      <c r="B141" s="81"/>
      <c r="C141" s="140"/>
      <c r="D141" s="148"/>
      <c r="E141" s="106"/>
      <c r="F141" s="141"/>
      <c r="G141" s="44"/>
      <c r="H141" s="44"/>
    </row>
    <row r="142" spans="1:8" ht="15" x14ac:dyDescent="0.25">
      <c r="A142" s="189"/>
      <c r="B142" s="81"/>
      <c r="C142" s="140"/>
      <c r="D142" s="148"/>
      <c r="E142" s="106"/>
      <c r="F142" s="141"/>
      <c r="G142" s="44"/>
      <c r="H142" s="44"/>
    </row>
    <row r="143" spans="1:8" ht="15" x14ac:dyDescent="0.25">
      <c r="A143" s="189"/>
      <c r="B143" s="81"/>
      <c r="C143" s="140"/>
      <c r="D143" s="148"/>
      <c r="E143" s="106"/>
      <c r="F143" s="141"/>
      <c r="G143" s="44"/>
      <c r="H143" s="44"/>
    </row>
    <row r="144" spans="1:8" ht="15" x14ac:dyDescent="0.25">
      <c r="A144" s="189"/>
      <c r="B144" s="81"/>
      <c r="C144" s="140"/>
      <c r="D144" s="148"/>
      <c r="E144" s="106"/>
      <c r="F144" s="141"/>
      <c r="G144" s="44"/>
      <c r="H144" s="44"/>
    </row>
    <row r="145" spans="1:8" ht="15" x14ac:dyDescent="0.25">
      <c r="A145" s="189"/>
      <c r="B145" s="81"/>
      <c r="C145" s="140"/>
      <c r="D145" s="148"/>
      <c r="E145" s="106"/>
      <c r="F145" s="141"/>
      <c r="G145" s="44"/>
      <c r="H145" s="44"/>
    </row>
    <row r="146" spans="1:8" ht="15" x14ac:dyDescent="0.25">
      <c r="A146" s="189"/>
      <c r="B146" s="81"/>
      <c r="C146" s="140"/>
      <c r="D146" s="148"/>
      <c r="E146" s="106"/>
      <c r="F146" s="141"/>
      <c r="G146" s="44"/>
      <c r="H146" s="44"/>
    </row>
    <row r="147" spans="1:8" ht="15" x14ac:dyDescent="0.25">
      <c r="A147" s="189"/>
      <c r="B147" s="81"/>
      <c r="C147" s="140"/>
      <c r="D147" s="148"/>
      <c r="E147" s="106"/>
      <c r="F147" s="141"/>
      <c r="G147" s="44"/>
      <c r="H147" s="44"/>
    </row>
    <row r="148" spans="1:8" ht="15" x14ac:dyDescent="0.25">
      <c r="A148" s="189"/>
      <c r="B148" s="81"/>
      <c r="C148" s="140"/>
      <c r="D148" s="148"/>
      <c r="E148" s="106"/>
      <c r="F148" s="141"/>
      <c r="G148" s="44"/>
      <c r="H148" s="44"/>
    </row>
    <row r="149" spans="1:8" ht="15" x14ac:dyDescent="0.25">
      <c r="A149" s="189"/>
      <c r="B149" s="81"/>
      <c r="C149" s="140"/>
      <c r="D149" s="148"/>
      <c r="E149" s="106"/>
      <c r="F149" s="141"/>
      <c r="G149" s="44"/>
      <c r="H149" s="44"/>
    </row>
    <row r="150" spans="1:8" ht="2.1" customHeight="1" x14ac:dyDescent="0.25">
      <c r="A150" s="189"/>
      <c r="B150" s="81"/>
      <c r="C150" s="140"/>
      <c r="D150" s="148"/>
      <c r="E150" s="106"/>
      <c r="F150" s="141"/>
      <c r="G150" s="44"/>
      <c r="H150" s="44"/>
    </row>
    <row r="151" spans="1:8" ht="2.1" customHeight="1" x14ac:dyDescent="0.25">
      <c r="A151" s="189"/>
      <c r="B151" s="81"/>
      <c r="C151" s="140"/>
      <c r="D151" s="148"/>
      <c r="E151" s="106"/>
      <c r="F151" s="141"/>
      <c r="G151" s="44"/>
      <c r="H151" s="44"/>
    </row>
    <row r="152" spans="1:8" ht="18" x14ac:dyDescent="0.25">
      <c r="A152" s="208" t="s">
        <v>34</v>
      </c>
      <c r="B152" s="208"/>
      <c r="C152" s="208"/>
      <c r="D152" s="208"/>
      <c r="E152" s="208"/>
      <c r="F152" s="208"/>
      <c r="G152" s="208"/>
      <c r="H152" s="208"/>
    </row>
    <row r="153" spans="1:8" x14ac:dyDescent="0.2">
      <c r="A153" s="7"/>
      <c r="B153" s="7"/>
      <c r="C153" s="11" t="s">
        <v>1</v>
      </c>
      <c r="D153" s="12" t="str">
        <f>+Sheet1!D2</f>
        <v>FP-24</v>
      </c>
      <c r="E153" s="8"/>
      <c r="F153" s="9"/>
      <c r="G153" s="9"/>
      <c r="H153" s="9"/>
    </row>
    <row r="154" spans="1:8" x14ac:dyDescent="0.2">
      <c r="A154" s="7"/>
      <c r="B154" s="7"/>
      <c r="C154" s="7"/>
      <c r="D154" s="10"/>
      <c r="E154" s="8"/>
      <c r="F154" s="9"/>
      <c r="G154" s="9"/>
      <c r="H154" s="9"/>
    </row>
    <row r="155" spans="1:8" x14ac:dyDescent="0.2">
      <c r="A155" s="11" t="s">
        <v>3</v>
      </c>
      <c r="B155" s="206" t="str">
        <f>+B4</f>
        <v>AZ Heidi Test(1)</v>
      </c>
      <c r="C155" s="206"/>
      <c r="D155" s="12"/>
      <c r="E155" s="12"/>
      <c r="F155" s="13"/>
      <c r="G155" s="14" t="s">
        <v>5</v>
      </c>
      <c r="H155" s="15">
        <f ca="1" xml:space="preserve"> TODAY()</f>
        <v>45532</v>
      </c>
    </row>
    <row r="156" spans="1:8" ht="5.25" customHeight="1" x14ac:dyDescent="0.2">
      <c r="A156" s="11"/>
      <c r="B156" s="206"/>
      <c r="C156" s="206"/>
      <c r="D156" s="12"/>
      <c r="E156" s="12"/>
      <c r="F156" s="13"/>
      <c r="G156" s="14"/>
      <c r="H156" s="15"/>
    </row>
    <row r="157" spans="1:8" x14ac:dyDescent="0.2">
      <c r="A157" s="11" t="s">
        <v>6</v>
      </c>
      <c r="B157" s="212" t="str">
        <f>+B6</f>
        <v>Heidi National Park</v>
      </c>
      <c r="C157" s="212"/>
      <c r="D157" s="212"/>
      <c r="E157" s="212"/>
      <c r="F157" s="212"/>
      <c r="G157" s="14" t="str">
        <f>+G6</f>
        <v xml:space="preserve">Schedule Type: </v>
      </c>
      <c r="H157" s="16" t="str">
        <f>+H6</f>
        <v>Option</v>
      </c>
    </row>
    <row r="158" spans="1:8" x14ac:dyDescent="0.2">
      <c r="A158" s="11"/>
      <c r="B158" s="206"/>
      <c r="C158" s="206"/>
      <c r="D158" s="206"/>
      <c r="E158" s="206"/>
      <c r="F158" s="206"/>
      <c r="G158" s="14" t="str">
        <f>+G8</f>
        <v>Schedule Letter:</v>
      </c>
      <c r="H158" s="16" t="str">
        <f>+H8</f>
        <v>Z</v>
      </c>
    </row>
    <row r="159" spans="1:8" x14ac:dyDescent="0.2">
      <c r="A159" s="7"/>
      <c r="B159" s="7"/>
      <c r="C159" s="7"/>
      <c r="D159" s="8"/>
      <c r="E159" s="8"/>
      <c r="F159" s="9"/>
      <c r="G159" s="14" t="s">
        <v>12</v>
      </c>
      <c r="H159" s="13" t="str">
        <f>+Units</f>
        <v>US CUSTOMARY</v>
      </c>
    </row>
    <row r="160" spans="1:8" ht="6.75" customHeight="1" thickBot="1" x14ac:dyDescent="0.25">
      <c r="A160" s="7"/>
      <c r="B160" s="7"/>
      <c r="C160" s="7"/>
      <c r="D160" s="8"/>
      <c r="E160" s="8"/>
      <c r="F160" s="9"/>
      <c r="G160" s="14"/>
      <c r="H160" s="13"/>
    </row>
    <row r="161" spans="1:8" ht="19.5" customHeight="1" thickBot="1" x14ac:dyDescent="0.25">
      <c r="A161" s="129" t="s">
        <v>90</v>
      </c>
      <c r="B161" s="130"/>
      <c r="C161" s="130"/>
      <c r="D161" s="130"/>
      <c r="E161" s="130"/>
      <c r="F161" s="130"/>
      <c r="G161" s="130"/>
      <c r="H161" s="131"/>
    </row>
    <row r="162" spans="1:8" ht="5.25" customHeight="1" x14ac:dyDescent="0.2">
      <c r="A162" s="17"/>
      <c r="B162" s="43"/>
      <c r="C162" s="43"/>
      <c r="D162" s="44"/>
      <c r="E162" s="45"/>
      <c r="F162" s="44"/>
      <c r="G162" s="44"/>
      <c r="H162" s="44"/>
    </row>
    <row r="163" spans="1:8" ht="12.75" customHeight="1" x14ac:dyDescent="0.2">
      <c r="A163" s="221" t="str">
        <f>IF(FP="FP-24","Not applicable","Not applicable")</f>
        <v>Not applicable</v>
      </c>
      <c r="B163" s="225"/>
      <c r="C163" s="76" t="s">
        <v>37</v>
      </c>
      <c r="D163" s="77"/>
      <c r="E163" s="71"/>
      <c r="F163" s="75" t="s">
        <v>38</v>
      </c>
      <c r="G163" s="44"/>
      <c r="H163" s="44"/>
    </row>
    <row r="164" spans="1:8" ht="12.75" customHeight="1" x14ac:dyDescent="0.2">
      <c r="A164" s="69"/>
      <c r="B164" s="70"/>
      <c r="C164" s="142"/>
      <c r="D164" s="74"/>
      <c r="E164" s="72"/>
      <c r="F164" s="143" t="str">
        <f>IF(ISNUMBER(D164),+C$164*D164, "-")</f>
        <v>-</v>
      </c>
      <c r="G164" s="79"/>
      <c r="H164" s="44"/>
    </row>
    <row r="165" spans="1:8" ht="12.75" customHeight="1" x14ac:dyDescent="0.2">
      <c r="A165" s="221" t="str">
        <f>IF(FP="FP-24","Not applicable","Not applicable")</f>
        <v>Not applicable</v>
      </c>
      <c r="B165" s="226"/>
      <c r="C165" s="82" t="s">
        <v>37</v>
      </c>
      <c r="D165" s="83"/>
      <c r="E165" s="84"/>
      <c r="F165" s="85" t="s">
        <v>38</v>
      </c>
      <c r="G165" s="79"/>
      <c r="H165" s="44"/>
    </row>
    <row r="166" spans="1:8" ht="12.75" customHeight="1" x14ac:dyDescent="0.2">
      <c r="A166" s="69"/>
      <c r="B166" s="70"/>
      <c r="C166" s="142"/>
      <c r="D166" s="74"/>
      <c r="E166" s="72"/>
      <c r="F166" s="143" t="str">
        <f>IF(ISNUMBER(D166),+C$166*D166, "-")</f>
        <v>-</v>
      </c>
      <c r="G166" s="79"/>
      <c r="H166" s="48"/>
    </row>
    <row r="167" spans="1:8" ht="12.75" customHeight="1" x14ac:dyDescent="0.2">
      <c r="A167" s="67" t="str">
        <f>IF(FP="FP-24","Not applicable","Not applicable")</f>
        <v>Not applicable</v>
      </c>
      <c r="B167" s="68"/>
      <c r="C167" s="76" t="s">
        <v>37</v>
      </c>
      <c r="D167" s="77"/>
      <c r="E167" s="71"/>
      <c r="F167" s="75" t="s">
        <v>38</v>
      </c>
      <c r="G167" s="49"/>
      <c r="H167" s="50"/>
    </row>
    <row r="168" spans="1:8" x14ac:dyDescent="0.2">
      <c r="A168" s="97"/>
      <c r="B168" s="89"/>
      <c r="C168" s="219"/>
      <c r="D168" s="98"/>
      <c r="E168" s="99"/>
      <c r="F168" s="137" t="str">
        <f>IF(ISNUMBER(D168),+C$168*D168, "-")</f>
        <v>-</v>
      </c>
      <c r="G168" s="49"/>
      <c r="H168" s="50"/>
    </row>
    <row r="169" spans="1:8" x14ac:dyDescent="0.2">
      <c r="A169" s="97"/>
      <c r="B169" s="89"/>
      <c r="C169" s="220"/>
      <c r="D169" s="98"/>
      <c r="E169" s="99"/>
      <c r="F169" s="137" t="str">
        <f>IF(ISNUMBER(D169),+C$168*D169, "-")</f>
        <v>-</v>
      </c>
      <c r="G169" s="49"/>
      <c r="H169" s="50"/>
    </row>
    <row r="170" spans="1:8" ht="15" x14ac:dyDescent="0.25">
      <c r="A170" s="69"/>
      <c r="B170" s="70"/>
      <c r="C170" s="140"/>
      <c r="D170" s="195"/>
      <c r="E170" s="193"/>
      <c r="F170" s="194"/>
      <c r="G170" s="49"/>
      <c r="H170" s="50"/>
    </row>
    <row r="171" spans="1:8" ht="15" x14ac:dyDescent="0.25">
      <c r="A171" s="69"/>
      <c r="B171" s="70"/>
      <c r="C171" s="140"/>
      <c r="D171" s="195"/>
      <c r="E171" s="193"/>
      <c r="F171" s="194"/>
      <c r="G171" s="49"/>
      <c r="H171" s="50"/>
    </row>
    <row r="172" spans="1:8" x14ac:dyDescent="0.2">
      <c r="A172" s="46"/>
      <c r="B172" s="46"/>
      <c r="C172" s="46"/>
      <c r="D172" s="47"/>
      <c r="E172" s="47"/>
      <c r="F172" s="48"/>
      <c r="G172" s="48"/>
      <c r="H172" s="48"/>
    </row>
    <row r="173" spans="1:8" x14ac:dyDescent="0.2">
      <c r="A173" s="46"/>
      <c r="B173" s="46"/>
      <c r="C173" s="46"/>
      <c r="D173" s="47"/>
      <c r="E173" s="47"/>
      <c r="F173" s="48"/>
      <c r="G173" s="48"/>
      <c r="H173" s="48"/>
    </row>
    <row r="174" spans="1:8" x14ac:dyDescent="0.2">
      <c r="A174" s="107"/>
      <c r="B174" s="114"/>
      <c r="C174" s="115"/>
      <c r="D174" s="116" t="s">
        <v>91</v>
      </c>
      <c r="E174" s="115"/>
      <c r="F174" s="117">
        <f>SUM(F90:F137)+SUM(F163:F169)</f>
        <v>0</v>
      </c>
      <c r="G174" s="17"/>
      <c r="H174" s="17"/>
    </row>
    <row r="175" spans="1:8" ht="4.5" customHeight="1" x14ac:dyDescent="0.2">
      <c r="A175" s="17"/>
      <c r="B175" s="118"/>
      <c r="C175" s="43"/>
      <c r="D175" s="45"/>
      <c r="E175" s="45"/>
      <c r="F175" s="119"/>
      <c r="G175" s="44"/>
      <c r="H175" s="44"/>
    </row>
    <row r="176" spans="1:8" x14ac:dyDescent="0.2">
      <c r="A176" s="17"/>
      <c r="B176" s="120"/>
      <c r="C176" s="46"/>
      <c r="D176" s="109" t="s">
        <v>92</v>
      </c>
      <c r="E176" s="51"/>
      <c r="F176" s="149"/>
      <c r="G176" s="44"/>
      <c r="H176" s="44"/>
    </row>
    <row r="177" spans="1:8" ht="7.5" customHeight="1" x14ac:dyDescent="0.2">
      <c r="A177" s="17"/>
      <c r="B177" s="121"/>
      <c r="C177" s="46"/>
      <c r="D177" s="113"/>
      <c r="E177" s="51"/>
      <c r="F177" s="119"/>
      <c r="G177" s="44"/>
      <c r="H177" s="44"/>
    </row>
    <row r="178" spans="1:8" x14ac:dyDescent="0.2">
      <c r="A178" s="17"/>
      <c r="B178" s="121"/>
      <c r="C178" s="46"/>
      <c r="D178" s="109" t="s">
        <v>93</v>
      </c>
      <c r="E178" s="51"/>
      <c r="F178" s="122" t="str">
        <f>IF(F176&lt;&gt;"",F176*1.6,"-")</f>
        <v>-</v>
      </c>
      <c r="G178" s="44"/>
      <c r="H178" s="44"/>
    </row>
    <row r="179" spans="1:8" ht="5.25" customHeight="1" x14ac:dyDescent="0.2">
      <c r="A179" s="17"/>
      <c r="B179" s="121"/>
      <c r="C179" s="46"/>
      <c r="D179" s="113"/>
      <c r="E179" s="51"/>
      <c r="F179" s="119"/>
      <c r="G179" s="44"/>
      <c r="H179" s="44"/>
    </row>
    <row r="180" spans="1:8" x14ac:dyDescent="0.2">
      <c r="A180" s="46"/>
      <c r="B180" s="121"/>
      <c r="C180" s="46"/>
      <c r="D180" s="110" t="s">
        <v>94</v>
      </c>
      <c r="E180" s="47"/>
      <c r="F180" s="123" t="str">
        <f>IF(F174&lt;&gt;0,(1.6-1.1)*(F174*F176),"-")</f>
        <v>-</v>
      </c>
      <c r="G180" s="48"/>
      <c r="H180" s="48"/>
    </row>
    <row r="181" spans="1:8" ht="7.5" customHeight="1" x14ac:dyDescent="0.2">
      <c r="A181" s="46"/>
      <c r="B181" s="121"/>
      <c r="C181" s="46"/>
      <c r="D181" s="47"/>
      <c r="E181" s="47"/>
      <c r="F181" s="119"/>
      <c r="G181" s="52"/>
      <c r="H181" s="53"/>
    </row>
    <row r="182" spans="1:8" x14ac:dyDescent="0.2">
      <c r="A182" s="46"/>
      <c r="B182" s="121"/>
      <c r="C182" s="46"/>
      <c r="D182" s="110" t="s">
        <v>95</v>
      </c>
      <c r="E182" s="47"/>
      <c r="F182" s="150"/>
      <c r="G182" s="52"/>
      <c r="H182" s="53"/>
    </row>
    <row r="183" spans="1:8" ht="6.75" customHeight="1" x14ac:dyDescent="0.2">
      <c r="A183" s="46"/>
      <c r="B183" s="121"/>
      <c r="C183" s="46"/>
      <c r="D183" s="47"/>
      <c r="E183" s="47"/>
      <c r="F183" s="119"/>
      <c r="G183" s="52"/>
      <c r="H183" s="53"/>
    </row>
    <row r="184" spans="1:8" ht="18.75" customHeight="1" x14ac:dyDescent="0.2">
      <c r="A184" s="46"/>
      <c r="B184" s="124"/>
      <c r="C184" s="125"/>
      <c r="D184" s="126" t="s">
        <v>96</v>
      </c>
      <c r="E184" s="127"/>
      <c r="F184" s="128" t="str">
        <f>IF(F182&lt;&gt;"",(F180*F182)/100,"$0.00")</f>
        <v>$0.00</v>
      </c>
      <c r="G184" s="52"/>
      <c r="H184" s="53"/>
    </row>
    <row r="185" spans="1:8" ht="18.75" customHeight="1" x14ac:dyDescent="0.2">
      <c r="A185" s="46"/>
      <c r="B185" s="46"/>
      <c r="C185" s="46"/>
      <c r="D185" s="111"/>
      <c r="E185" s="47"/>
      <c r="F185" s="112"/>
      <c r="G185" s="52"/>
      <c r="H185" s="53"/>
    </row>
    <row r="186" spans="1:8" ht="18.75" customHeight="1" x14ac:dyDescent="0.2">
      <c r="A186" s="46"/>
      <c r="B186" s="46"/>
      <c r="C186" s="46"/>
      <c r="D186" s="111"/>
      <c r="E186" s="47"/>
      <c r="F186" s="112"/>
      <c r="G186" s="52"/>
      <c r="H186" s="53"/>
    </row>
    <row r="187" spans="1:8" x14ac:dyDescent="0.2">
      <c r="A187" s="46"/>
      <c r="B187" s="46"/>
      <c r="C187" s="46"/>
      <c r="D187" s="47"/>
      <c r="E187" s="47"/>
      <c r="F187" s="48"/>
      <c r="G187" s="52"/>
      <c r="H187" s="53"/>
    </row>
    <row r="188" spans="1:8" ht="6.75" customHeight="1" thickBot="1" x14ac:dyDescent="0.25">
      <c r="A188" s="7"/>
      <c r="B188" s="7"/>
      <c r="C188" s="7"/>
      <c r="D188" s="8"/>
      <c r="E188" s="8"/>
      <c r="F188" s="9"/>
      <c r="G188" s="14"/>
      <c r="H188" s="13"/>
    </row>
    <row r="189" spans="1:8" ht="19.5" customHeight="1" thickBot="1" x14ac:dyDescent="0.25">
      <c r="A189" s="132" t="s">
        <v>97</v>
      </c>
      <c r="B189" s="133"/>
      <c r="C189" s="133"/>
      <c r="D189" s="133"/>
      <c r="E189" s="133"/>
      <c r="F189" s="133"/>
      <c r="G189" s="133"/>
      <c r="H189" s="134"/>
    </row>
    <row r="190" spans="1:8" ht="5.25" customHeight="1" x14ac:dyDescent="0.2">
      <c r="A190" s="17"/>
      <c r="B190" s="43"/>
      <c r="C190" s="43"/>
      <c r="D190" s="44"/>
      <c r="E190" s="45"/>
      <c r="F190" s="44"/>
      <c r="G190" s="44"/>
      <c r="H190" s="44"/>
    </row>
    <row r="191" spans="1:8" x14ac:dyDescent="0.2">
      <c r="A191" s="46"/>
      <c r="B191" s="114"/>
      <c r="C191" s="115"/>
      <c r="D191" s="116" t="s">
        <v>98</v>
      </c>
      <c r="E191" s="115"/>
      <c r="F191" s="151"/>
      <c r="G191" s="52"/>
      <c r="H191" s="53"/>
    </row>
    <row r="192" spans="1:8" x14ac:dyDescent="0.2">
      <c r="A192" s="46"/>
      <c r="B192" s="118"/>
      <c r="C192" s="43"/>
      <c r="D192" s="45"/>
      <c r="E192" s="45"/>
      <c r="F192" s="119"/>
      <c r="G192" s="52"/>
      <c r="H192" s="53"/>
    </row>
    <row r="193" spans="1:8" x14ac:dyDescent="0.2">
      <c r="A193" s="46"/>
      <c r="B193" s="120"/>
      <c r="C193" s="46"/>
      <c r="D193" s="109" t="s">
        <v>99</v>
      </c>
      <c r="E193" s="51"/>
      <c r="F193" s="149"/>
      <c r="G193" s="52"/>
      <c r="H193" s="53"/>
    </row>
    <row r="194" spans="1:8" x14ac:dyDescent="0.2">
      <c r="A194" s="46"/>
      <c r="B194" s="121"/>
      <c r="C194" s="46"/>
      <c r="D194" s="113"/>
      <c r="E194" s="51"/>
      <c r="F194" s="119"/>
      <c r="G194" s="52"/>
      <c r="H194" s="53"/>
    </row>
    <row r="195" spans="1:8" x14ac:dyDescent="0.2">
      <c r="A195" s="46"/>
      <c r="B195" s="121"/>
      <c r="C195" s="46"/>
      <c r="D195" s="109" t="s">
        <v>93</v>
      </c>
      <c r="E195" s="51"/>
      <c r="F195" s="122" t="str">
        <f>IF(F193&lt;&gt;"",F193*1.6,"-")</f>
        <v>-</v>
      </c>
      <c r="G195" s="52"/>
      <c r="H195" s="53"/>
    </row>
    <row r="196" spans="1:8" x14ac:dyDescent="0.2">
      <c r="A196" s="46"/>
      <c r="B196" s="121"/>
      <c r="C196" s="46"/>
      <c r="D196" s="113"/>
      <c r="E196" s="51"/>
      <c r="F196" s="119"/>
      <c r="G196" s="52"/>
      <c r="H196" s="53"/>
    </row>
    <row r="197" spans="1:8" x14ac:dyDescent="0.2">
      <c r="A197" s="46"/>
      <c r="B197" s="121"/>
      <c r="C197" s="46"/>
      <c r="D197" s="110" t="s">
        <v>100</v>
      </c>
      <c r="E197" s="47"/>
      <c r="F197" s="123" t="str">
        <f>IF(F191&lt;&gt;0,(1.6-1.1)*(F193)*(F191*0.06),"-")</f>
        <v>-</v>
      </c>
      <c r="G197" s="52"/>
      <c r="H197" s="53"/>
    </row>
    <row r="198" spans="1:8" x14ac:dyDescent="0.2">
      <c r="A198" s="46"/>
      <c r="B198" s="121"/>
      <c r="C198" s="46"/>
      <c r="D198" s="47"/>
      <c r="E198" s="47"/>
      <c r="F198" s="119"/>
      <c r="G198" s="52"/>
      <c r="H198" s="53"/>
    </row>
    <row r="199" spans="1:8" x14ac:dyDescent="0.2">
      <c r="A199" s="46"/>
      <c r="B199" s="121"/>
      <c r="C199" s="46"/>
      <c r="D199" s="110" t="s">
        <v>95</v>
      </c>
      <c r="E199" s="47"/>
      <c r="F199" s="150"/>
      <c r="G199" s="52"/>
      <c r="H199" s="53"/>
    </row>
    <row r="200" spans="1:8" x14ac:dyDescent="0.2">
      <c r="A200" s="46"/>
      <c r="B200" s="121"/>
      <c r="C200" s="46"/>
      <c r="D200" s="47"/>
      <c r="E200" s="47"/>
      <c r="F200" s="119"/>
      <c r="G200" s="52"/>
      <c r="H200" s="53"/>
    </row>
    <row r="201" spans="1:8" x14ac:dyDescent="0.2">
      <c r="A201" s="46"/>
      <c r="B201" s="124"/>
      <c r="C201" s="125"/>
      <c r="D201" s="126" t="s">
        <v>101</v>
      </c>
      <c r="E201" s="127"/>
      <c r="F201" s="128" t="str">
        <f>IF(F199&lt;&gt;"",(F197*F199)/100,"$0.00")</f>
        <v>$0.00</v>
      </c>
      <c r="G201" s="48"/>
      <c r="H201" s="48"/>
    </row>
    <row r="202" spans="1:8" x14ac:dyDescent="0.2">
      <c r="A202" s="46"/>
      <c r="B202" s="46"/>
      <c r="C202" s="46"/>
      <c r="D202" s="47"/>
      <c r="E202" s="47"/>
      <c r="F202" s="48"/>
      <c r="G202" s="48"/>
      <c r="H202" s="48"/>
    </row>
    <row r="203" spans="1:8" x14ac:dyDescent="0.2">
      <c r="A203" s="54"/>
      <c r="B203" s="55"/>
      <c r="C203" s="55"/>
      <c r="D203" s="47"/>
      <c r="E203" s="47"/>
      <c r="F203" s="48"/>
      <c r="G203" s="48"/>
      <c r="H203" s="48"/>
    </row>
    <row r="204" spans="1:8" x14ac:dyDescent="0.2">
      <c r="A204" s="55"/>
      <c r="B204" s="55"/>
      <c r="C204" s="55"/>
      <c r="D204" s="47"/>
      <c r="E204" s="47"/>
      <c r="F204" s="48"/>
      <c r="G204" s="48"/>
      <c r="H204" s="48"/>
    </row>
    <row r="205" spans="1:8" x14ac:dyDescent="0.2">
      <c r="A205" s="55"/>
      <c r="B205" s="55"/>
      <c r="C205" s="55"/>
      <c r="D205" s="47"/>
      <c r="E205" s="47"/>
      <c r="F205" s="48"/>
      <c r="G205" s="48"/>
      <c r="H205" s="48"/>
    </row>
    <row r="206" spans="1:8" x14ac:dyDescent="0.2">
      <c r="A206" s="54"/>
      <c r="B206" s="55"/>
      <c r="C206" s="55"/>
      <c r="D206" s="47"/>
      <c r="E206" s="47"/>
      <c r="F206" s="48"/>
      <c r="G206" s="48"/>
      <c r="H206" s="48"/>
    </row>
    <row r="207" spans="1:8" x14ac:dyDescent="0.2">
      <c r="A207" s="55"/>
      <c r="B207" s="55"/>
      <c r="C207" s="55"/>
      <c r="D207" s="47"/>
      <c r="E207" s="47"/>
      <c r="F207" s="48"/>
      <c r="G207" s="48"/>
      <c r="H207" s="48"/>
    </row>
    <row r="208" spans="1:8" x14ac:dyDescent="0.2">
      <c r="A208" s="55"/>
      <c r="B208" s="55"/>
      <c r="C208" s="55"/>
      <c r="D208" s="47"/>
      <c r="E208" s="47"/>
      <c r="F208" s="48"/>
      <c r="G208" s="48"/>
      <c r="H208" s="48"/>
    </row>
    <row r="209" spans="1:8" ht="22.5" customHeight="1" x14ac:dyDescent="0.2">
      <c r="A209" s="54"/>
      <c r="B209" s="55"/>
      <c r="C209" s="55"/>
      <c r="D209" s="47"/>
      <c r="E209" s="47"/>
      <c r="F209" s="48"/>
      <c r="G209" s="48"/>
      <c r="H209" s="48"/>
    </row>
  </sheetData>
  <sheetProtection sheet="1" objects="1" scenarios="1"/>
  <dataConsolidate/>
  <mergeCells count="26">
    <mergeCell ref="A165:B165"/>
    <mergeCell ref="C168:C169"/>
    <mergeCell ref="A133:B133"/>
    <mergeCell ref="C134:C135"/>
    <mergeCell ref="A136:B136"/>
    <mergeCell ref="A152:H152"/>
    <mergeCell ref="B157:F157"/>
    <mergeCell ref="A163:B163"/>
    <mergeCell ref="C131:C132"/>
    <mergeCell ref="A57:H57"/>
    <mergeCell ref="A65:G65"/>
    <mergeCell ref="A79:H79"/>
    <mergeCell ref="B84:F84"/>
    <mergeCell ref="C91:C100"/>
    <mergeCell ref="C102:C110"/>
    <mergeCell ref="C112:C113"/>
    <mergeCell ref="C115:C118"/>
    <mergeCell ref="C120:C122"/>
    <mergeCell ref="C124:C125"/>
    <mergeCell ref="C127:C129"/>
    <mergeCell ref="A52:G52"/>
    <mergeCell ref="A1:H1"/>
    <mergeCell ref="B6:F6"/>
    <mergeCell ref="A12:H12"/>
    <mergeCell ref="A30:H30"/>
    <mergeCell ref="A42:H42"/>
  </mergeCells>
  <dataValidations count="12">
    <dataValidation type="list" allowBlank="1" showInputMessage="1" showErrorMessage="1" promptTitle="Choose Letter" prompt="If you need more than six schedules, then copy additional sheet tabs and calculate incentives separately for each schedule._x000a__x000a_Sheet tabs can be copied by left clicking the active tab, choosing 'Move or Copy', then clicking the &quot;Create Copy' checkbox." sqref="H8" xr:uid="{0BFDD6E4-9009-44C3-ADD9-B67B9F34A823}">
      <formula1>", A, B, C, D, E, F, G, W, X, Y, Z"</formula1>
    </dataValidation>
    <dataValidation type="list" showInputMessage="1" showErrorMessage="1" error="Please use drop-down menu to select a schedule" promptTitle="Select Schedule Type" prompt="Select Base, Option, or Alternate" sqref="H6" xr:uid="{AA1B80D3-6B2C-4213-B4B9-E3ADB988BBBD}">
      <formula1>"  , Base, Option, Alternate"</formula1>
    </dataValidation>
    <dataValidation type="whole" operator="greaterThanOrEqual" allowBlank="1" showInputMessage="1" showErrorMessage="1" error="Bid decimals set to zero._x000a__x000a_Contact Steve Chapman (X7801)_x000a_                   or_x000a_    Greg Kwock (X7987)_x000a__x000a_to modify Incentive Spreadsheet." sqref="D51 D138:D151" xr:uid="{380B5CD8-986A-4C19-BD16-DA7B65270DBB}">
      <formula1>0</formula1>
    </dataValidation>
    <dataValidation allowBlank="1" showInputMessage="1" showErrorMessage="1" promptTitle="Enter project number" prompt="Example:  CA FTNP JOTR 11(5)" sqref="B4:C4" xr:uid="{D66236A2-3BD4-4BE2-B4CD-98710F0EBE0E}"/>
    <dataValidation allowBlank="1" showInputMessage="1" showErrorMessage="1" promptTitle="Enter project name" prompt="Example:  Pinto Basin Road" sqref="B6:F6" xr:uid="{782495AC-3F8E-4E61-9BCF-8A5829DF8750}"/>
    <dataValidation allowBlank="1" sqref="B82:C82 B155:C155" xr:uid="{4A148BA3-F0D9-46E6-B3EA-C20C3F179BCC}"/>
    <dataValidation allowBlank="1" showErrorMessage="1" sqref="B94" xr:uid="{7238F3AE-DDEE-4E49-B73B-8B1FA8D45EB4}"/>
    <dataValidation type="whole" operator="greaterThanOrEqual" allowBlank="1" showInputMessage="1" showErrorMessage="1" error="Bid decimals set to zero._x000a__x000a_Contact Heidi Hirsbrunner (X3622)_x000a_                _x000a_to modify Incentive Spreadsheet." sqref="D15 D17 D19 D21 D33 D23 D25 D27 D29 D35:D50" xr:uid="{F031FF56-BBE9-410B-99D3-099FC3336B72}">
      <formula1>0</formula1>
    </dataValidation>
    <dataValidation type="whole" operator="greaterThanOrEqual" allowBlank="1" showInputMessage="1" showErrorMessage="1" error="Bid decimals set to zero._x000a__x000a_Contact Heidi Hirsbrunner (X3622)_x000a_                   _x000a_to modify Incentive Spreadsheet." sqref="D91:D100 D115:D118" xr:uid="{9F47453C-96CC-498F-825E-C0BF5FC76A10}">
      <formula1>0</formula1>
    </dataValidation>
    <dataValidation type="whole" operator="greaterThanOrEqual" allowBlank="1" showInputMessage="1" showErrorMessage="1" error="Bid decimals set to zero._x000a__x000a_Contact Heidi Hirsbrunner (X3622) _x000a__x000a_to modify Incentive Spreadsheet." sqref="D102:D110" xr:uid="{03A05FC6-0CAA-4D75-BF9A-F86315201602}">
      <formula1>0</formula1>
    </dataValidation>
    <dataValidation type="whole" operator="greaterThanOrEqual" allowBlank="1" showInputMessage="1" showErrorMessage="1" error="Bid decimals set to zero._x000a__x000a_Contact Heidi Hirsbrunner (X3622)_x000a_                 _x000a_to modify Incentive Spreadsheet." sqref="D112:D113" xr:uid="{50FD10C8-522B-4B64-8F18-1B0694FC8B5E}">
      <formula1>0</formula1>
    </dataValidation>
    <dataValidation type="whole" operator="greaterThanOrEqual" allowBlank="1" showInputMessage="1" showErrorMessage="1" error="Bid decimals set to zero._x000a__x000a_Contact Heidi Hirsbrunner (X3622)_x000a__x000a_to modify Incentive Spreadsheet." sqref="D168:D171 D120:D122 D124:D125 D127:D129 D131:D132 D134:D135 D164 D166 D137" xr:uid="{86A904BC-579B-4209-8738-F07B84C6E408}">
      <formula1>0</formula1>
    </dataValidation>
  </dataValidations>
  <printOptions horizontalCentered="1"/>
  <pageMargins left="0.45" right="0.45" top="0.6" bottom="0.25" header="0" footer="0.05"/>
  <pageSetup scale="81" fitToHeight="2" orientation="portrait" r:id="rId1"/>
  <headerFooter>
    <oddFooter>&amp;RRev. 04-23-2024</oddFooter>
  </headerFooter>
  <rowBreaks count="1" manualBreakCount="1">
    <brk id="78" max="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B1:J26"/>
  <sheetViews>
    <sheetView workbookViewId="0">
      <selection activeCell="J19" sqref="J19"/>
    </sheetView>
  </sheetViews>
  <sheetFormatPr defaultRowHeight="15" x14ac:dyDescent="0.25"/>
  <cols>
    <col min="1" max="1" width="1.42578125" customWidth="1"/>
    <col min="2" max="2" width="14.140625" customWidth="1"/>
    <col min="3" max="3" width="26.7109375" customWidth="1"/>
    <col min="4" max="10" width="14.7109375" customWidth="1"/>
  </cols>
  <sheetData>
    <row r="1" spans="2:10" ht="6" customHeight="1" x14ac:dyDescent="0.25"/>
    <row r="2" spans="2:10" ht="15" customHeight="1" x14ac:dyDescent="0.25">
      <c r="B2" s="208" t="s">
        <v>110</v>
      </c>
      <c r="C2" s="208"/>
      <c r="D2" s="208"/>
      <c r="E2" s="208"/>
      <c r="F2" s="208"/>
      <c r="G2" s="208"/>
      <c r="H2" s="208"/>
      <c r="I2" s="208"/>
    </row>
    <row r="3" spans="2:10" ht="15" customHeight="1" x14ac:dyDescent="0.25">
      <c r="B3" s="7"/>
      <c r="C3" s="7"/>
      <c r="E3" s="11" t="s">
        <v>1</v>
      </c>
      <c r="F3" s="167" t="str">
        <f>+Sheet1!D2</f>
        <v>FP-24</v>
      </c>
      <c r="G3" s="9"/>
      <c r="H3" s="9"/>
      <c r="I3" s="9"/>
    </row>
    <row r="4" spans="2:10" ht="15" customHeight="1" x14ac:dyDescent="0.25">
      <c r="B4" s="7"/>
      <c r="C4" s="7"/>
      <c r="D4" s="7"/>
      <c r="E4" s="10"/>
      <c r="F4" s="8"/>
      <c r="G4" s="9"/>
      <c r="H4" s="9"/>
      <c r="I4" s="9"/>
    </row>
    <row r="5" spans="2:10" ht="15" customHeight="1" x14ac:dyDescent="0.25">
      <c r="B5" s="11" t="s">
        <v>3</v>
      </c>
      <c r="C5" s="206" t="str">
        <f>+Sheet1!B4</f>
        <v>AZ Heidi Test(1)</v>
      </c>
      <c r="D5" s="206"/>
      <c r="E5" s="12"/>
      <c r="F5" s="12"/>
      <c r="G5" s="13"/>
      <c r="H5" s="14" t="s">
        <v>5</v>
      </c>
      <c r="I5" s="15">
        <f ca="1" xml:space="preserve"> TODAY()</f>
        <v>45532</v>
      </c>
    </row>
    <row r="6" spans="2:10" ht="5.25" customHeight="1" x14ac:dyDescent="0.25">
      <c r="B6" s="11"/>
      <c r="C6" s="206"/>
      <c r="D6" s="206"/>
      <c r="E6" s="12"/>
      <c r="F6" s="12"/>
      <c r="G6" s="13"/>
      <c r="H6" s="14"/>
      <c r="I6" s="15"/>
    </row>
    <row r="7" spans="2:10" ht="15" customHeight="1" x14ac:dyDescent="0.25">
      <c r="B7" s="11" t="s">
        <v>6</v>
      </c>
      <c r="C7" s="212" t="str">
        <f>+Sheet1!B6</f>
        <v>Heidi National Park</v>
      </c>
      <c r="D7" s="212">
        <f>+Sheet1!C6</f>
        <v>0</v>
      </c>
      <c r="E7" s="212">
        <f>+Sheet1!D6</f>
        <v>0</v>
      </c>
      <c r="F7" s="212">
        <f>+Sheet1!E6</f>
        <v>0</v>
      </c>
      <c r="G7" s="212">
        <f>+Sheet1!F6</f>
        <v>0</v>
      </c>
      <c r="H7" s="153" t="s">
        <v>111</v>
      </c>
      <c r="I7" s="152" t="str">
        <f>+Sheet1!H10</f>
        <v>US CUSTOMARY</v>
      </c>
      <c r="J7" s="154"/>
    </row>
    <row r="8" spans="2:10" ht="15" customHeight="1" thickBot="1" x14ac:dyDescent="0.3">
      <c r="B8" s="11"/>
      <c r="C8" s="206"/>
      <c r="D8" s="206"/>
      <c r="E8" s="206"/>
      <c r="F8" s="206"/>
      <c r="G8" s="206"/>
      <c r="H8" s="14"/>
      <c r="I8" s="16"/>
      <c r="J8" s="154"/>
    </row>
    <row r="9" spans="2:10" ht="19.5" customHeight="1" thickBot="1" x14ac:dyDescent="0.3">
      <c r="B9" s="207" t="s">
        <v>112</v>
      </c>
      <c r="C9" s="207"/>
      <c r="D9" s="207"/>
      <c r="E9" s="207"/>
      <c r="F9" s="207"/>
      <c r="G9" s="207"/>
      <c r="H9" s="207"/>
      <c r="I9" s="207"/>
      <c r="J9" s="227"/>
    </row>
    <row r="10" spans="2:10" ht="6" customHeight="1" x14ac:dyDescent="0.25">
      <c r="B10" s="157"/>
      <c r="C10" s="157"/>
      <c r="D10" s="157"/>
      <c r="E10" s="157"/>
      <c r="F10" s="157"/>
      <c r="G10" s="157"/>
      <c r="H10" s="157"/>
      <c r="I10" s="157"/>
      <c r="J10" s="154"/>
    </row>
    <row r="11" spans="2:10" ht="15" customHeight="1" x14ac:dyDescent="0.25">
      <c r="B11" s="11"/>
      <c r="C11" s="206"/>
      <c r="D11" s="166" t="s">
        <v>113</v>
      </c>
      <c r="E11" s="166" t="s">
        <v>114</v>
      </c>
      <c r="F11" s="166" t="s">
        <v>115</v>
      </c>
      <c r="G11" s="166" t="s">
        <v>116</v>
      </c>
      <c r="H11" s="166" t="s">
        <v>117</v>
      </c>
      <c r="I11" s="166" t="s">
        <v>118</v>
      </c>
      <c r="J11" s="158"/>
    </row>
    <row r="12" spans="2:10" ht="6" customHeight="1" x14ac:dyDescent="0.25">
      <c r="B12" s="11"/>
      <c r="C12" s="206"/>
      <c r="D12" s="161"/>
      <c r="E12" s="161"/>
      <c r="F12" s="161"/>
      <c r="G12" s="161"/>
      <c r="H12" s="161"/>
      <c r="I12" s="161"/>
      <c r="J12" s="158"/>
    </row>
    <row r="13" spans="2:10" ht="15" customHeight="1" x14ac:dyDescent="0.25">
      <c r="B13" s="7"/>
      <c r="C13" s="203" t="s">
        <v>119</v>
      </c>
      <c r="D13" s="162" t="str">
        <f>+Sheet1!$H$6</f>
        <v>Base</v>
      </c>
      <c r="E13" s="164" t="str">
        <f>+Sheet2!$H$6</f>
        <v>Base</v>
      </c>
      <c r="F13" s="164" t="str">
        <f>+Sheet3!$H$6</f>
        <v>Base</v>
      </c>
      <c r="G13" s="164" t="str">
        <f>+Sheet4!$H$6</f>
        <v>Option</v>
      </c>
      <c r="H13" s="164" t="str">
        <f>+Sheet5!$H$6</f>
        <v>Option</v>
      </c>
      <c r="I13" s="164" t="str">
        <f>+Sheet6!$H$6</f>
        <v>Option</v>
      </c>
    </row>
    <row r="14" spans="2:10" x14ac:dyDescent="0.25">
      <c r="B14" s="7"/>
      <c r="C14" s="7"/>
      <c r="D14" s="163" t="str">
        <f>+Sheet1!$H$8</f>
        <v>A</v>
      </c>
      <c r="E14" s="164" t="str">
        <f>+Sheet2!$H$8</f>
        <v>B</v>
      </c>
      <c r="F14" s="164" t="str">
        <f>+Sheet3!$H$8</f>
        <v>C</v>
      </c>
      <c r="G14" s="164" t="str">
        <f>+Sheet4!$H$8</f>
        <v>X</v>
      </c>
      <c r="H14" s="164" t="str">
        <f>+Sheet5!$H$8</f>
        <v>Y</v>
      </c>
      <c r="I14" s="164" t="str">
        <f>+Sheet6!$H$8</f>
        <v>Z</v>
      </c>
      <c r="J14" s="165" t="s">
        <v>120</v>
      </c>
    </row>
    <row r="15" spans="2:10" x14ac:dyDescent="0.25">
      <c r="B15" s="168" t="s">
        <v>121</v>
      </c>
      <c r="C15" s="169"/>
      <c r="D15" s="170"/>
      <c r="E15" s="170"/>
      <c r="F15" s="170"/>
      <c r="G15" s="170"/>
      <c r="H15" s="170"/>
      <c r="I15" s="170"/>
      <c r="J15" s="171">
        <f>SUM(D15:I15)</f>
        <v>0</v>
      </c>
    </row>
    <row r="16" spans="2:10" x14ac:dyDescent="0.25">
      <c r="B16" s="187" t="s">
        <v>122</v>
      </c>
      <c r="C16" s="180"/>
      <c r="D16" s="181"/>
      <c r="E16" s="181"/>
      <c r="F16" s="181"/>
      <c r="G16" s="181"/>
      <c r="H16" s="181"/>
      <c r="I16" s="181"/>
      <c r="J16" s="182">
        <f>SUM(D16:I16)</f>
        <v>0</v>
      </c>
    </row>
    <row r="17" spans="2:10" x14ac:dyDescent="0.25">
      <c r="B17" s="183" t="s">
        <v>123</v>
      </c>
      <c r="C17" s="184"/>
      <c r="D17" s="185" t="str">
        <f>IF(ISNUMBER(D15),+D15+D16,"-")</f>
        <v>-</v>
      </c>
      <c r="E17" s="185" t="str">
        <f t="shared" ref="E17:F17" si="0">IF(ISNUMBER(E15),+E15+E16,"-")</f>
        <v>-</v>
      </c>
      <c r="F17" s="185" t="str">
        <f t="shared" si="0"/>
        <v>-</v>
      </c>
      <c r="G17" s="185" t="str">
        <f t="shared" ref="G17:H17" si="1">IF(ISNUMBER(G15),+G15+G16,"-")</f>
        <v>-</v>
      </c>
      <c r="H17" s="185" t="str">
        <f t="shared" si="1"/>
        <v>-</v>
      </c>
      <c r="I17" s="185" t="str">
        <f t="shared" ref="I17" si="2">IF(ISNUMBER(I15),+I15+I16,"-")</f>
        <v>-</v>
      </c>
      <c r="J17" s="185">
        <f t="shared" ref="J17" si="3">IF(ISNUMBER(J15),+J15+J16,"-")</f>
        <v>0</v>
      </c>
    </row>
    <row r="18" spans="2:10" x14ac:dyDescent="0.25">
      <c r="B18" s="155"/>
      <c r="D18" s="160"/>
      <c r="E18" s="160"/>
      <c r="F18" s="160"/>
      <c r="G18" s="160"/>
      <c r="H18" s="160"/>
      <c r="I18" s="160"/>
      <c r="J18" s="160"/>
    </row>
    <row r="19" spans="2:10" x14ac:dyDescent="0.25">
      <c r="B19" s="172" t="s">
        <v>124</v>
      </c>
      <c r="C19" s="169"/>
      <c r="D19" s="171">
        <f>+Sheet1!$H$52</f>
        <v>0</v>
      </c>
      <c r="E19" s="171">
        <f>+Sheet2!$H$52</f>
        <v>0</v>
      </c>
      <c r="F19" s="171">
        <f>+Sheet3!$H$52</f>
        <v>0</v>
      </c>
      <c r="G19" s="171">
        <f>+Sheet4!$H$52</f>
        <v>0</v>
      </c>
      <c r="H19" s="171">
        <f>+Sheet5!$H$52</f>
        <v>0</v>
      </c>
      <c r="I19" s="171">
        <f>+Sheet6!$H$52</f>
        <v>0</v>
      </c>
      <c r="J19" s="171">
        <f>SUM(D19:I19)</f>
        <v>0</v>
      </c>
    </row>
    <row r="20" spans="2:10" x14ac:dyDescent="0.25">
      <c r="B20" s="173" t="s">
        <v>125</v>
      </c>
      <c r="C20" s="174"/>
      <c r="D20" s="175">
        <f>+Sheet1!$H$65</f>
        <v>0</v>
      </c>
      <c r="E20" s="175">
        <f>+Sheet2!$H$65</f>
        <v>0</v>
      </c>
      <c r="F20" s="175">
        <f>+Sheet3!$H$65</f>
        <v>0</v>
      </c>
      <c r="G20" s="175">
        <f>+Sheet4!$H$65</f>
        <v>0</v>
      </c>
      <c r="H20" s="175">
        <f>+Sheet5!$H$65</f>
        <v>0</v>
      </c>
      <c r="I20" s="175">
        <f>+Sheet6!$H$65</f>
        <v>0</v>
      </c>
      <c r="J20" s="175">
        <f t="shared" ref="J20:J23" si="4">SUM(D20:I20)</f>
        <v>0</v>
      </c>
    </row>
    <row r="21" spans="2:10" x14ac:dyDescent="0.25">
      <c r="B21" s="173" t="s">
        <v>126</v>
      </c>
      <c r="C21" s="174"/>
      <c r="D21" s="175" t="str">
        <f>+Sheet1!$F$184</f>
        <v>$0.00</v>
      </c>
      <c r="E21" s="175" t="str">
        <f>+Sheet2!$F$184</f>
        <v>$0.00</v>
      </c>
      <c r="F21" s="175" t="str">
        <f>+Sheet3!$F$184</f>
        <v>$0.00</v>
      </c>
      <c r="G21" s="175" t="str">
        <f>+Sheet4!$F$184</f>
        <v>$0.00</v>
      </c>
      <c r="H21" s="175" t="str">
        <f>+Sheet5!$F$184</f>
        <v>$0.00</v>
      </c>
      <c r="I21" s="175" t="str">
        <f>+Sheet6!$F$184</f>
        <v>$0.00</v>
      </c>
      <c r="J21" s="175">
        <f t="shared" si="4"/>
        <v>0</v>
      </c>
    </row>
    <row r="22" spans="2:10" x14ac:dyDescent="0.25">
      <c r="B22" s="173" t="s">
        <v>127</v>
      </c>
      <c r="C22" s="174"/>
      <c r="D22" s="175" t="str">
        <f>+Sheet1!$F201</f>
        <v>$0.00</v>
      </c>
      <c r="E22" s="175" t="str">
        <f>+Sheet2!$F201</f>
        <v>$0.00</v>
      </c>
      <c r="F22" s="175" t="str">
        <f>+Sheet3!$F201</f>
        <v>$0.00</v>
      </c>
      <c r="G22" s="175" t="str">
        <f>+Sheet4!$F201</f>
        <v>$0.00</v>
      </c>
      <c r="H22" s="175" t="str">
        <f>+Sheet5!$F201</f>
        <v>$0.00</v>
      </c>
      <c r="I22" s="175" t="str">
        <f>+Sheet6!$F201</f>
        <v>$0.00</v>
      </c>
      <c r="J22" s="175">
        <f t="shared" si="4"/>
        <v>0</v>
      </c>
    </row>
    <row r="23" spans="2:10" x14ac:dyDescent="0.25">
      <c r="B23" s="179" t="s">
        <v>128</v>
      </c>
      <c r="C23" s="180"/>
      <c r="D23" s="181"/>
      <c r="E23" s="181"/>
      <c r="F23" s="181"/>
      <c r="G23" s="181"/>
      <c r="H23" s="181"/>
      <c r="I23" s="181"/>
      <c r="J23" s="182">
        <f t="shared" si="4"/>
        <v>0</v>
      </c>
    </row>
    <row r="24" spans="2:10" x14ac:dyDescent="0.25">
      <c r="B24" s="183" t="s">
        <v>129</v>
      </c>
      <c r="C24" s="184"/>
      <c r="D24" s="185" t="str">
        <f>IF(ISNUMBER(D15),SUM(D19:D23),"-")</f>
        <v>-</v>
      </c>
      <c r="E24" s="185" t="str">
        <f t="shared" ref="E24:J24" si="5">IF(ISNUMBER(E15),SUM(E19:E23),"-")</f>
        <v>-</v>
      </c>
      <c r="F24" s="185" t="str">
        <f t="shared" si="5"/>
        <v>-</v>
      </c>
      <c r="G24" s="185" t="str">
        <f t="shared" si="5"/>
        <v>-</v>
      </c>
      <c r="H24" s="185" t="str">
        <f t="shared" si="5"/>
        <v>-</v>
      </c>
      <c r="I24" s="185" t="str">
        <f t="shared" si="5"/>
        <v>-</v>
      </c>
      <c r="J24" s="185">
        <f t="shared" si="5"/>
        <v>0</v>
      </c>
    </row>
    <row r="25" spans="2:10" ht="19.5" customHeight="1" thickBot="1" x14ac:dyDescent="0.3">
      <c r="B25" s="156"/>
      <c r="D25" s="159"/>
      <c r="E25" s="159"/>
      <c r="F25" s="159"/>
      <c r="G25" s="159"/>
      <c r="H25" s="159"/>
      <c r="I25" s="159"/>
      <c r="J25" s="159"/>
    </row>
    <row r="26" spans="2:10" ht="32.25" customHeight="1" thickBot="1" x14ac:dyDescent="0.3">
      <c r="B26" s="176" t="s">
        <v>130</v>
      </c>
      <c r="C26" s="177"/>
      <c r="D26" s="178" t="str">
        <f>IF(ISNUMBER(D15),(+D17+D24),"-")</f>
        <v>-</v>
      </c>
      <c r="E26" s="178" t="str">
        <f t="shared" ref="E26:J26" si="6">IF(ISNUMBER(E15),(+E17+E24),"-")</f>
        <v>-</v>
      </c>
      <c r="F26" s="178" t="str">
        <f t="shared" si="6"/>
        <v>-</v>
      </c>
      <c r="G26" s="178" t="str">
        <f t="shared" si="6"/>
        <v>-</v>
      </c>
      <c r="H26" s="178" t="str">
        <f t="shared" si="6"/>
        <v>-</v>
      </c>
      <c r="I26" s="178" t="str">
        <f t="shared" si="6"/>
        <v>-</v>
      </c>
      <c r="J26" s="186">
        <f t="shared" si="6"/>
        <v>0</v>
      </c>
    </row>
  </sheetData>
  <sheetProtection sheet="1" objects="1" scenarios="1"/>
  <mergeCells count="3">
    <mergeCell ref="B2:I2"/>
    <mergeCell ref="C7:G7"/>
    <mergeCell ref="B9:J9"/>
  </mergeCells>
  <dataValidations count="2">
    <dataValidation allowBlank="1" showInputMessage="1" showErrorMessage="1" promptTitle="Enter project number" prompt="Example:  CA FTNP JOTR 11(5)" sqref="C5:D5" xr:uid="{00000000-0002-0000-0600-000000000000}"/>
    <dataValidation allowBlank="1" showInputMessage="1" showErrorMessage="1" promptTitle="Enter project name" prompt="Example:  Pinto Basin Road" sqref="C7:G7" xr:uid="{00000000-0002-0000-0600-000001000000}"/>
  </dataValidations>
  <pageMargins left="0.5" right="0.5" top="0.75" bottom="0.75" header="0.3" footer="0.3"/>
  <pageSetup scale="87" orientation="landscape" r:id="rId1"/>
  <headerFooter>
    <oddFooter>&amp;RRev. 02-08-2019</oddFooter>
  </headerFooter>
  <ignoredErrors>
    <ignoredError sqref="E13:E1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9A1D91B3936247B027D354A3E30ADF" ma:contentTypeVersion="4" ma:contentTypeDescription="Create a new document." ma:contentTypeScope="" ma:versionID="cf7ff59b999e6c9205bc2bb2782239c0">
  <xsd:schema xmlns:xsd="http://www.w3.org/2001/XMLSchema" xmlns:xs="http://www.w3.org/2001/XMLSchema" xmlns:p="http://schemas.microsoft.com/office/2006/metadata/properties" xmlns:ns2="c5188a08-a108-4a71-86f1-32748900f3f1" targetNamespace="http://schemas.microsoft.com/office/2006/metadata/properties" ma:root="true" ma:fieldsID="2e9500b8ea90bac3a9a61e81ae82fbf9" ns2:_="">
    <xsd:import namespace="c5188a08-a108-4a71-86f1-32748900f3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88a08-a108-4a71-86f1-32748900f3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E3BA4D-235F-4342-8E6A-1E6F5A5526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88a08-a108-4a71-86f1-32748900f3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22B62C-5182-4853-883A-43857759D0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A59971-9F64-497F-BC6D-F02E395C9BB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18</vt:i4>
      </vt:variant>
    </vt:vector>
  </HeadingPairs>
  <TitlesOfParts>
    <vt:vector size="25" baseType="lpstr">
      <vt:lpstr>Sheet1</vt:lpstr>
      <vt:lpstr>Sheet2</vt:lpstr>
      <vt:lpstr>Sheet3</vt:lpstr>
      <vt:lpstr>Sheet4</vt:lpstr>
      <vt:lpstr>Sheet5</vt:lpstr>
      <vt:lpstr>Sheet6</vt:lpstr>
      <vt:lpstr>Acquisition Incentive Summary</vt:lpstr>
      <vt:lpstr>Sheet2!FP</vt:lpstr>
      <vt:lpstr>Sheet3!FP</vt:lpstr>
      <vt:lpstr>Sheet4!FP</vt:lpstr>
      <vt:lpstr>Sheet5!FP</vt:lpstr>
      <vt:lpstr>Sheet6!FP</vt:lpstr>
      <vt:lpstr>FP</vt:lpstr>
      <vt:lpstr>Sheet1!Print_Area</vt:lpstr>
      <vt:lpstr>Sheet2!Print_Area</vt:lpstr>
      <vt:lpstr>Sheet3!Print_Area</vt:lpstr>
      <vt:lpstr>Sheet4!Print_Area</vt:lpstr>
      <vt:lpstr>Sheet5!Print_Area</vt:lpstr>
      <vt:lpstr>Sheet6!Print_Area</vt:lpstr>
      <vt:lpstr>Sheet2!Units</vt:lpstr>
      <vt:lpstr>Sheet3!Units</vt:lpstr>
      <vt:lpstr>Sheet4!Units</vt:lpstr>
      <vt:lpstr>Sheet5!Units</vt:lpstr>
      <vt:lpstr>Sheet6!Units</vt:lpstr>
      <vt:lpstr>Units</vt:lpstr>
    </vt:vector>
  </TitlesOfParts>
  <Manager/>
  <Company>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Kwock</dc:creator>
  <cp:keywords/>
  <dc:description/>
  <cp:lastModifiedBy>Hirsbrunner, Heidi (FHWA)</cp:lastModifiedBy>
  <cp:revision/>
  <dcterms:created xsi:type="dcterms:W3CDTF">2013-04-09T17:16:13Z</dcterms:created>
  <dcterms:modified xsi:type="dcterms:W3CDTF">2024-08-28T16:50:01Z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0x010100339A1D91B3936247B027D354A3E30ADF</vt:lpwstr>
  </property>
</Properties>
</file>