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vhb\proj\Raleigh\38541.02 HSIP_Eval_Guide\tech\Final Guide\"/>
    </mc:Choice>
  </mc:AlternateContent>
  <bookViews>
    <workbookView xWindow="0" yWindow="0" windowWidth="20160" windowHeight="8748" tabRatio="686"/>
  </bookViews>
  <sheets>
    <sheet name="Intro" sheetId="14" r:id="rId1"/>
    <sheet name="Simple Before-After" sheetId="2" r:id="rId2"/>
    <sheet name="Comparison Group Before-After" sheetId="3" r:id="rId3"/>
    <sheet name="Empirical Bayes Before-After" sheetId="4" r:id="rId4"/>
    <sheet name="Sample Size" sheetId="13" r:id="rId5"/>
  </sheets>
  <calcPr calcId="171027"/>
</workbook>
</file>

<file path=xl/calcChain.xml><?xml version="1.0" encoding="utf-8"?>
<calcChain xmlns="http://schemas.openxmlformats.org/spreadsheetml/2006/main">
  <c r="B11" i="13" l="1"/>
  <c r="B10" i="13"/>
  <c r="B8" i="13"/>
  <c r="B5" i="13"/>
  <c r="B13" i="13" s="1"/>
  <c r="B5" i="4"/>
  <c r="B4" i="4"/>
  <c r="F13" i="4"/>
  <c r="F12" i="4"/>
  <c r="B12" i="13" l="1"/>
  <c r="B15" i="13" s="1"/>
  <c r="B14" i="13"/>
  <c r="B16" i="13" s="1"/>
  <c r="B7" i="3"/>
  <c r="B15" i="2"/>
  <c r="B14" i="2"/>
  <c r="B10" i="4"/>
  <c r="B7" i="4"/>
  <c r="B8" i="4" s="1"/>
  <c r="B9" i="4" s="1"/>
  <c r="B6" i="3"/>
  <c r="B13" i="2"/>
  <c r="B11" i="2"/>
  <c r="B12" i="2" s="1"/>
  <c r="B10" i="2"/>
  <c r="B8" i="3"/>
  <c r="B17" i="13" l="1"/>
  <c r="B18" i="13" s="1"/>
  <c r="B9" i="3"/>
  <c r="B10" i="3" s="1"/>
  <c r="B11" i="3" s="1"/>
  <c r="B16" i="2"/>
  <c r="B17" i="2" s="1"/>
  <c r="B18" i="2" s="1"/>
  <c r="B19" i="2" s="1"/>
  <c r="B20" i="2" s="1"/>
  <c r="B11" i="4"/>
  <c r="B12" i="4" s="1"/>
  <c r="B13" i="4" s="1"/>
  <c r="B14" i="4" s="1"/>
  <c r="B19" i="13" l="1"/>
</calcChain>
</file>

<file path=xl/sharedStrings.xml><?xml version="1.0" encoding="utf-8"?>
<sst xmlns="http://schemas.openxmlformats.org/spreadsheetml/2006/main" count="94" uniqueCount="73">
  <si>
    <t>Years Before</t>
  </si>
  <si>
    <t>Years After</t>
  </si>
  <si>
    <t>CMF</t>
  </si>
  <si>
    <t>Var(CMF)</t>
  </si>
  <si>
    <t>SE(CMF)</t>
  </si>
  <si>
    <t>Traffic Volume Before</t>
  </si>
  <si>
    <t>Traffic Volume After</t>
  </si>
  <si>
    <t>Before Crashes (Nobserved,T,B)</t>
  </si>
  <si>
    <t>After Crashes (Nobserved,T,A)</t>
  </si>
  <si>
    <t>r(d) [Years After/Years Before]</t>
  </si>
  <si>
    <t>r(t) [Traffic After/Traffic Before]</t>
  </si>
  <si>
    <t>Nexpected,T,A</t>
  </si>
  <si>
    <t>Var(Nobserved,T,A)</t>
  </si>
  <si>
    <t>Var(Nexpected,T,A)</t>
  </si>
  <si>
    <t>User Input</t>
  </si>
  <si>
    <t>Calculated Output</t>
  </si>
  <si>
    <t>v Before</t>
  </si>
  <si>
    <t>v After</t>
  </si>
  <si>
    <t>Number of count days to estimate AADT Before</t>
  </si>
  <si>
    <t>Number of count days to estimate AADT After</t>
  </si>
  <si>
    <t>Var(r(t))</t>
  </si>
  <si>
    <t xml:space="preserve">Notes: </t>
  </si>
  <si>
    <t>Notes:</t>
  </si>
  <si>
    <t>1.  Assumes before and after periods are the same for treatment and comparison group</t>
  </si>
  <si>
    <t>1. Assumes SPF is developed and dispersion parameter is available for use in EB Method</t>
  </si>
  <si>
    <t>Treatment Group Before Crashes (Nobserved,T,B)</t>
  </si>
  <si>
    <t>Treatment Group After Crashes (Nobserved,T,A)</t>
  </si>
  <si>
    <t>Comparison Group Before Crashes (Nobserved,C,B)</t>
  </si>
  <si>
    <t>Comparison Group After Crashes (Nobserved,C,A)</t>
  </si>
  <si>
    <t>Observed Before Crashes (Nobserved,T,B)</t>
  </si>
  <si>
    <t>Observed After Crashes (Nobserved,T,A)</t>
  </si>
  <si>
    <t>Predicted Before Crashes (Npredicted,T,B)</t>
  </si>
  <si>
    <t>Predicted After Crashes (Npredicted,T,A)</t>
  </si>
  <si>
    <t>Dispersion parameter (k)</t>
  </si>
  <si>
    <t>SPF Weight (w)</t>
  </si>
  <si>
    <t>Nexpected,T,B</t>
  </si>
  <si>
    <t xml:space="preserve">Annual crashes are predicted for each year in the before period and summed </t>
  </si>
  <si>
    <t xml:space="preserve">Annual crashes are predicted for each year in the after period and summed </t>
  </si>
  <si>
    <t>2. Annual crashes are "predicted" using SPF and appropriate calibration factors</t>
  </si>
  <si>
    <t xml:space="preserve">SPF (before) = </t>
  </si>
  <si>
    <t xml:space="preserve">SPF (after) = </t>
  </si>
  <si>
    <t>Variable Inputs</t>
  </si>
  <si>
    <t>Example Values (Table 11, pg 96)</t>
  </si>
  <si>
    <t>Example Values (Table 13, pg 98)</t>
  </si>
  <si>
    <t>Example Values (Table 15, pg 100)</t>
  </si>
  <si>
    <t>The following is an overview of the worksheets:</t>
  </si>
  <si>
    <t>Number of "before" crashes per year in treatment group</t>
  </si>
  <si>
    <t>Number of "before" years</t>
  </si>
  <si>
    <t>Number of "after" years</t>
  </si>
  <si>
    <t>Number of “before” crashes per year in comparison group</t>
  </si>
  <si>
    <t>Desired level of significance (α)</t>
  </si>
  <si>
    <t>Cumulative probability</t>
  </si>
  <si>
    <t>Expected % reduction [100*(1-CMF)]</t>
  </si>
  <si>
    <t>Number of “before” crashes in treatment group</t>
  </si>
  <si>
    <t>Estimated number of “after” crashes in treatment group</t>
  </si>
  <si>
    <t>Number of “before” crashes in comparison group</t>
  </si>
  <si>
    <t>Estimated number of "after" crashes in comparison group</t>
  </si>
  <si>
    <t>Estimated number of "after" crashes in treatment group without change</t>
  </si>
  <si>
    <t>Estimate of the variance of crashes "after" without change</t>
  </si>
  <si>
    <t>Estimated index of effectiveness [CMF]</t>
  </si>
  <si>
    <t>Standard deviation of the estimated index of effectiveness [SE(CMF)]</t>
  </si>
  <si>
    <t>Lower bound of confidence interval</t>
  </si>
  <si>
    <t>Upper bound of confidence interval</t>
  </si>
  <si>
    <t>Variance of odds ratio**</t>
  </si>
  <si>
    <r>
      <t xml:space="preserve">Instructions: </t>
    </r>
    <r>
      <rPr>
        <sz val="12"/>
        <rFont val="Arial"/>
        <family val="2"/>
      </rPr>
      <t>Enter 4 input values. Examine standard deviation and confidence interval of index of effectiveness. Change inputs until desired level of precision is attained. If the number of before and after years is entered as "1", the OUTPUT provides the total number of crashes required in the before and after periods for both the treatment and comparison groups.</t>
    </r>
  </si>
  <si>
    <r>
      <t xml:space="preserve">Assumptions:
</t>
    </r>
    <r>
      <rPr>
        <sz val="12"/>
        <rFont val="Arial"/>
        <family val="2"/>
      </rPr>
      <t>1. Treatment and comparison groups have an equal number of crashes.
2. Duration of before and after periods are equal for the treatment and comparison groups.</t>
    </r>
  </si>
  <si>
    <r>
      <rPr>
        <b/>
        <sz val="12"/>
        <rFont val="Arial"/>
        <family val="2"/>
      </rPr>
      <t>Reference:</t>
    </r>
    <r>
      <rPr>
        <sz val="12"/>
        <rFont val="Arial"/>
        <family val="2"/>
      </rPr>
      <t xml:space="preserve"> For detailed explanation see Ezra Hauer, Observational Before-After Studies in Road Safety, Pergamon, 1997
**See section 9.3 of reference. If no information is available examine sensitivity to assuming values between 0.001 to 0.01</t>
    </r>
  </si>
  <si>
    <t>Example Values (Table 16, pg 102)</t>
  </si>
  <si>
    <r>
      <rPr>
        <b/>
        <sz val="12"/>
        <rFont val="Arial"/>
        <family val="2"/>
      </rPr>
      <t>Simple Before-After</t>
    </r>
    <r>
      <rPr>
        <sz val="12"/>
        <rFont val="Arial"/>
        <family val="2"/>
      </rPr>
      <t>: provides a template for computing CMFs using the simple before-after method. The worksheet includes the equations and sample values from Appendix B of the HSIP Evaluation Guide.</t>
    </r>
  </si>
  <si>
    <r>
      <rPr>
        <b/>
        <sz val="12"/>
        <rFont val="Arial"/>
        <family val="2"/>
      </rPr>
      <t>Comparison Group Before-After</t>
    </r>
    <r>
      <rPr>
        <sz val="12"/>
        <rFont val="Arial"/>
        <family val="2"/>
      </rPr>
      <t>: provides a template for computing CMFs using the comparison group before-after method. The worksheet includes the equations and sample values from Appendix B of the HSIP Evaluation Guide.</t>
    </r>
  </si>
  <si>
    <r>
      <rPr>
        <b/>
        <sz val="12"/>
        <rFont val="Arial"/>
        <family val="2"/>
      </rPr>
      <t>Empirical Bayes Before-After</t>
    </r>
    <r>
      <rPr>
        <sz val="12"/>
        <rFont val="Arial"/>
        <family val="2"/>
      </rPr>
      <t>: provides a template for computing CMFs using the EB before-after method. The worksheet includes the equations and sample values from Appendix B of the HSIP Evaluation Guide.</t>
    </r>
  </si>
  <si>
    <r>
      <rPr>
        <b/>
        <sz val="12"/>
        <rFont val="Arial"/>
        <family val="2"/>
      </rPr>
      <t>Sample Size</t>
    </r>
    <r>
      <rPr>
        <sz val="12"/>
        <rFont val="Arial"/>
        <family val="2"/>
      </rPr>
      <t>: provides a template for estimating sample size requirements for observational before-after evaluations. The worksheet includes the equations and sample values from Appendix C of the HSIP Evaluation Guide.</t>
    </r>
  </si>
  <si>
    <r>
      <t xml:space="preserve">This Excel file serves as a </t>
    </r>
    <r>
      <rPr>
        <b/>
        <i/>
        <sz val="14"/>
        <rFont val="Arial"/>
        <family val="2"/>
      </rPr>
      <t>companion</t>
    </r>
    <r>
      <rPr>
        <sz val="14"/>
        <rFont val="Arial"/>
        <family val="2"/>
      </rPr>
      <t xml:space="preserve"> to the </t>
    </r>
    <r>
      <rPr>
        <b/>
        <sz val="14"/>
        <rFont val="Arial"/>
        <family val="2"/>
      </rPr>
      <t>FHWA HSIP Evaluation Guide</t>
    </r>
    <r>
      <rPr>
        <sz val="14"/>
        <rFont val="Arial"/>
        <family val="2"/>
      </rPr>
      <t xml:space="preserve"> (FHWA-SA-17-039).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</si>
</sst>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7" x14ac:knownFonts="1">
    <font>
      <sz val="10"/>
      <name val="Arial"/>
    </font>
    <font>
      <sz val="10"/>
      <name val="Arial"/>
      <family val="2"/>
    </font>
    <font>
      <b/>
      <sz val="12"/>
      <name val="Arial"/>
      <family val="2"/>
    </font>
    <font>
      <sz val="12"/>
      <name val="Arial"/>
      <family val="2"/>
    </font>
    <font>
      <sz val="14"/>
      <name val="Arial"/>
      <family val="2"/>
    </font>
    <font>
      <b/>
      <i/>
      <sz val="14"/>
      <name val="Arial"/>
      <family val="2"/>
    </font>
    <font>
      <b/>
      <sz val="14"/>
      <name val="Arial"/>
      <family val="2"/>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 fontId="1" fillId="0" borderId="0"/>
  </cellStyleXfs>
  <cellXfs count="37">
    <xf numFmtId="0" fontId="0" fillId="0" borderId="0" xfId="0"/>
    <xf numFmtId="0" fontId="0" fillId="0" borderId="0" xfId="0" applyAlignment="1">
      <alignment horizontal="center"/>
    </xf>
    <xf numFmtId="0" fontId="1" fillId="0" borderId="0" xfId="0" applyFont="1"/>
    <xf numFmtId="0" fontId="3" fillId="0" borderId="0" xfId="0" applyFont="1" applyAlignment="1">
      <alignment horizontal="center"/>
    </xf>
    <xf numFmtId="0" fontId="0" fillId="0" borderId="0" xfId="0" applyAlignment="1">
      <alignment horizontal="left"/>
    </xf>
    <xf numFmtId="0" fontId="3" fillId="0" borderId="0" xfId="0" applyFont="1" applyAlignment="1">
      <alignment horizontal="left"/>
    </xf>
    <xf numFmtId="0" fontId="3" fillId="0" borderId="0" xfId="0" applyFont="1"/>
    <xf numFmtId="0" fontId="2" fillId="0" borderId="0" xfId="0" applyFont="1"/>
    <xf numFmtId="0" fontId="2" fillId="2" borderId="0" xfId="0" applyFont="1" applyFill="1" applyAlignment="1">
      <alignment horizontal="left"/>
    </xf>
    <xf numFmtId="0" fontId="2" fillId="3" borderId="0" xfId="0" applyFont="1" applyFill="1" applyAlignment="1">
      <alignment horizontal="left"/>
    </xf>
    <xf numFmtId="0" fontId="0" fillId="0" borderId="0" xfId="0" applyAlignment="1">
      <alignment wrapText="1"/>
    </xf>
    <xf numFmtId="0" fontId="2" fillId="0" borderId="1" xfId="0" applyFont="1" applyBorder="1" applyAlignment="1">
      <alignment horizontal="left"/>
    </xf>
    <xf numFmtId="0" fontId="2" fillId="0" borderId="1" xfId="0" applyFont="1" applyBorder="1" applyAlignment="1">
      <alignment horizontal="center"/>
    </xf>
    <xf numFmtId="0" fontId="3" fillId="2" borderId="1" xfId="0" applyFont="1" applyFill="1" applyBorder="1" applyAlignment="1">
      <alignment horizontal="left"/>
    </xf>
    <xf numFmtId="0" fontId="3" fillId="2" borderId="1" xfId="0" applyFont="1" applyFill="1" applyBorder="1" applyAlignment="1">
      <alignment horizontal="center"/>
    </xf>
    <xf numFmtId="3" fontId="3" fillId="2" borderId="1" xfId="0" applyNumberFormat="1" applyFont="1" applyFill="1" applyBorder="1" applyAlignment="1">
      <alignment horizontal="center"/>
    </xf>
    <xf numFmtId="0" fontId="3" fillId="3" borderId="1" xfId="0" applyFont="1" applyFill="1" applyBorder="1" applyAlignment="1">
      <alignment horizontal="left"/>
    </xf>
    <xf numFmtId="2" fontId="3"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165" fontId="3" fillId="3" borderId="1" xfId="0" applyNumberFormat="1" applyFont="1" applyFill="1" applyBorder="1" applyAlignment="1">
      <alignment horizontal="center"/>
    </xf>
    <xf numFmtId="2" fontId="3" fillId="2" borderId="1" xfId="0" applyNumberFormat="1" applyFont="1" applyFill="1" applyBorder="1" applyAlignment="1">
      <alignment horizontal="center"/>
    </xf>
    <xf numFmtId="0" fontId="2" fillId="0" borderId="1" xfId="0" applyFont="1" applyBorder="1" applyAlignment="1"/>
    <xf numFmtId="0" fontId="0" fillId="0" borderId="0" xfId="0" applyAlignment="1"/>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Alignment="1">
      <alignment wrapText="1"/>
    </xf>
    <xf numFmtId="0" fontId="4" fillId="0" borderId="0" xfId="0" applyFont="1" applyAlignment="1">
      <alignment wrapText="1"/>
    </xf>
  </cellXfs>
  <cellStyles count="2">
    <cellStyle name="Comma0"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3</xdr:row>
      <xdr:rowOff>95250</xdr:rowOff>
    </xdr:from>
    <xdr:to>
      <xdr:col>2</xdr:col>
      <xdr:colOff>550606</xdr:colOff>
      <xdr:row>3</xdr:row>
      <xdr:rowOff>96838</xdr:rowOff>
    </xdr:to>
    <xdr:cxnSp macro="">
      <xdr:nvCxnSpPr>
        <xdr:cNvPr id="5" name="Straight Arrow Connector 4">
          <a:extLst>
            <a:ext uri="{FF2B5EF4-FFF2-40B4-BE49-F238E27FC236}">
              <a16:creationId xmlns:a16="http://schemas.microsoft.com/office/drawing/2014/main" id="{CEE502B0-D291-45C8-935B-C48D53813455}"/>
            </a:ext>
          </a:extLst>
        </xdr:cNvPr>
        <xdr:cNvCxnSpPr/>
      </xdr:nvCxnSpPr>
      <xdr:spPr>
        <a:xfrm>
          <a:off x="6362700" y="876300"/>
          <a:ext cx="4762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4</xdr:row>
      <xdr:rowOff>95250</xdr:rowOff>
    </xdr:from>
    <xdr:to>
      <xdr:col>2</xdr:col>
      <xdr:colOff>550606</xdr:colOff>
      <xdr:row>4</xdr:row>
      <xdr:rowOff>96838</xdr:rowOff>
    </xdr:to>
    <xdr:cxnSp macro="">
      <xdr:nvCxnSpPr>
        <xdr:cNvPr id="6" name="Straight Arrow Connector 5">
          <a:extLst>
            <a:ext uri="{FF2B5EF4-FFF2-40B4-BE49-F238E27FC236}">
              <a16:creationId xmlns:a16="http://schemas.microsoft.com/office/drawing/2014/main" id="{C93BA3F7-82AB-4BD5-8E0D-582AB999CA86}"/>
            </a:ext>
          </a:extLst>
        </xdr:cNvPr>
        <xdr:cNvCxnSpPr/>
      </xdr:nvCxnSpPr>
      <xdr:spPr>
        <a:xfrm>
          <a:off x="6362700" y="1066800"/>
          <a:ext cx="4762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30480</xdr:colOff>
      <xdr:row>6</xdr:row>
      <xdr:rowOff>38101</xdr:rowOff>
    </xdr:from>
    <xdr:to>
      <xdr:col>11</xdr:col>
      <xdr:colOff>292125</xdr:colOff>
      <xdr:row>9</xdr:row>
      <xdr:rowOff>159259</xdr:rowOff>
    </xdr:to>
    <xdr:pic>
      <xdr:nvPicPr>
        <xdr:cNvPr id="2" name="Picture 1">
          <a:extLst>
            <a:ext uri="{FF2B5EF4-FFF2-40B4-BE49-F238E27FC236}">
              <a16:creationId xmlns:a16="http://schemas.microsoft.com/office/drawing/2014/main" id="{322E1E31-49D7-4FED-8C85-E596E581019A}"/>
            </a:ext>
          </a:extLst>
        </xdr:cNvPr>
        <xdr:cNvPicPr>
          <a:picLocks noChangeAspect="1"/>
        </xdr:cNvPicPr>
      </xdr:nvPicPr>
      <xdr:blipFill>
        <a:blip xmlns:r="http://schemas.openxmlformats.org/officeDocument/2006/relationships" r:embed="rId1"/>
        <a:stretch>
          <a:fillRect/>
        </a:stretch>
      </xdr:blipFill>
      <xdr:spPr>
        <a:xfrm>
          <a:off x="6560820" y="1188721"/>
          <a:ext cx="5138445" cy="692658"/>
        </a:xfrm>
        <a:prstGeom prst="rect">
          <a:avLst/>
        </a:prstGeom>
        <a:ln w="190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defaultRowHeight="13.2" x14ac:dyDescent="0.25"/>
  <cols>
    <col min="1" max="1" width="118.109375" style="10" customWidth="1"/>
  </cols>
  <sheetData>
    <row r="1" spans="1:1" ht="17.399999999999999" x14ac:dyDescent="0.3">
      <c r="A1" s="36" t="s">
        <v>72</v>
      </c>
    </row>
    <row r="2" spans="1:1" ht="15" x14ac:dyDescent="0.25">
      <c r="A2" s="35"/>
    </row>
    <row r="3" spans="1:1" ht="15" x14ac:dyDescent="0.25">
      <c r="A3" s="35" t="s">
        <v>45</v>
      </c>
    </row>
    <row r="4" spans="1:1" ht="15" x14ac:dyDescent="0.25">
      <c r="A4" s="35"/>
    </row>
    <row r="5" spans="1:1" ht="30.6" x14ac:dyDescent="0.25">
      <c r="A5" s="35" t="s">
        <v>68</v>
      </c>
    </row>
    <row r="6" spans="1:1" ht="30.6" x14ac:dyDescent="0.25">
      <c r="A6" s="35" t="s">
        <v>69</v>
      </c>
    </row>
    <row r="7" spans="1:1" ht="30.6" x14ac:dyDescent="0.25">
      <c r="A7" s="35" t="s">
        <v>70</v>
      </c>
    </row>
    <row r="8" spans="1:1" ht="30.6" x14ac:dyDescent="0.25">
      <c r="A8" s="35" t="s">
        <v>71</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heetViews>
  <sheetFormatPr defaultRowHeight="13.2" x14ac:dyDescent="0.25"/>
  <cols>
    <col min="1" max="1" width="52.21875" style="4" customWidth="1"/>
    <col min="2" max="2" width="36.44140625" style="1" bestFit="1" customWidth="1"/>
    <col min="3" max="3" width="15.44140625" bestFit="1" customWidth="1"/>
    <col min="4" max="4" width="35.109375" bestFit="1" customWidth="1"/>
    <col min="5" max="5" width="23.109375" bestFit="1" customWidth="1"/>
    <col min="6" max="6" width="13.109375" bestFit="1" customWidth="1"/>
    <col min="7" max="7" width="35.5546875" bestFit="1" customWidth="1"/>
    <col min="8" max="8" width="35" bestFit="1" customWidth="1"/>
    <col min="9" max="9" width="17.33203125" bestFit="1" customWidth="1"/>
    <col min="10" max="10" width="23" bestFit="1" customWidth="1"/>
    <col min="11" max="11" width="23" customWidth="1"/>
    <col min="12" max="14" width="11.88671875" customWidth="1"/>
  </cols>
  <sheetData>
    <row r="1" spans="1:12" ht="15.6" x14ac:dyDescent="0.3">
      <c r="A1" s="11" t="s">
        <v>41</v>
      </c>
      <c r="B1" s="12" t="s">
        <v>42</v>
      </c>
    </row>
    <row r="2" spans="1:12" ht="15" x14ac:dyDescent="0.25">
      <c r="A2" s="13" t="s">
        <v>7</v>
      </c>
      <c r="B2" s="14">
        <v>18</v>
      </c>
    </row>
    <row r="3" spans="1:12" ht="15" x14ac:dyDescent="0.25">
      <c r="A3" s="13" t="s">
        <v>5</v>
      </c>
      <c r="B3" s="15">
        <v>7500</v>
      </c>
      <c r="L3" s="2"/>
    </row>
    <row r="4" spans="1:12" ht="15" x14ac:dyDescent="0.25">
      <c r="A4" s="13" t="s">
        <v>0</v>
      </c>
      <c r="B4" s="14">
        <v>3</v>
      </c>
    </row>
    <row r="5" spans="1:12" ht="15" x14ac:dyDescent="0.25">
      <c r="A5" s="13" t="s">
        <v>8</v>
      </c>
      <c r="B5" s="14">
        <v>10</v>
      </c>
    </row>
    <row r="6" spans="1:12" ht="15" x14ac:dyDescent="0.25">
      <c r="A6" s="13" t="s">
        <v>6</v>
      </c>
      <c r="B6" s="15">
        <v>8300</v>
      </c>
    </row>
    <row r="7" spans="1:12" ht="15" x14ac:dyDescent="0.25">
      <c r="A7" s="13" t="s">
        <v>1</v>
      </c>
      <c r="B7" s="14">
        <v>2</v>
      </c>
    </row>
    <row r="8" spans="1:12" ht="15" x14ac:dyDescent="0.25">
      <c r="A8" s="13" t="s">
        <v>18</v>
      </c>
      <c r="B8" s="14">
        <v>365</v>
      </c>
    </row>
    <row r="9" spans="1:12" ht="15" x14ac:dyDescent="0.25">
      <c r="A9" s="13" t="s">
        <v>19</v>
      </c>
      <c r="B9" s="14">
        <v>365</v>
      </c>
    </row>
    <row r="10" spans="1:12" ht="15" x14ac:dyDescent="0.25">
      <c r="A10" s="16" t="s">
        <v>9</v>
      </c>
      <c r="B10" s="17">
        <f>B7/B4</f>
        <v>0.66666666666666663</v>
      </c>
    </row>
    <row r="11" spans="1:12" ht="15" x14ac:dyDescent="0.25">
      <c r="A11" s="16" t="s">
        <v>10</v>
      </c>
      <c r="B11" s="17">
        <f>B6/B3</f>
        <v>1.1066666666666667</v>
      </c>
    </row>
    <row r="12" spans="1:12" ht="15" x14ac:dyDescent="0.25">
      <c r="A12" s="16" t="s">
        <v>11</v>
      </c>
      <c r="B12" s="17">
        <f>B2*B10*B11</f>
        <v>13.280000000000001</v>
      </c>
    </row>
    <row r="13" spans="1:12" ht="15" x14ac:dyDescent="0.25">
      <c r="A13" s="16" t="s">
        <v>12</v>
      </c>
      <c r="B13" s="18">
        <f>B5</f>
        <v>10</v>
      </c>
    </row>
    <row r="14" spans="1:12" ht="15" x14ac:dyDescent="0.25">
      <c r="A14" s="16" t="s">
        <v>16</v>
      </c>
      <c r="B14" s="17">
        <f>1+(7.7/B8)+(1650/(B3)^0.82)</f>
        <v>2.1174067302253654</v>
      </c>
    </row>
    <row r="15" spans="1:12" ht="15" x14ac:dyDescent="0.25">
      <c r="A15" s="16" t="s">
        <v>17</v>
      </c>
      <c r="B15" s="17">
        <f>1+(7.7/B9)+(1650/(B6)^0.82)</f>
        <v>2.0299768098296482</v>
      </c>
    </row>
    <row r="16" spans="1:12" ht="15" x14ac:dyDescent="0.25">
      <c r="A16" s="16" t="s">
        <v>20</v>
      </c>
      <c r="B16" s="19">
        <f>B11^2*(((B14/100)^2 )+((B15/100)^2 ))</f>
        <v>1.0537680296600475E-3</v>
      </c>
    </row>
    <row r="17" spans="1:2" ht="15" x14ac:dyDescent="0.25">
      <c r="A17" s="16" t="s">
        <v>13</v>
      </c>
      <c r="B17" s="17">
        <f>B10^2*(((B11^2)*B2)+((B2^2)*B16))</f>
        <v>9.9494314851599359</v>
      </c>
    </row>
    <row r="18" spans="1:2" ht="15" x14ac:dyDescent="0.25">
      <c r="A18" s="16" t="s">
        <v>2</v>
      </c>
      <c r="B18" s="17">
        <f>(B5/B12)/(1+(B17/(B12^2)))</f>
        <v>0.7127988069067186</v>
      </c>
    </row>
    <row r="19" spans="1:2" ht="15" x14ac:dyDescent="0.25">
      <c r="A19" s="16" t="s">
        <v>3</v>
      </c>
      <c r="B19" s="17">
        <f>(B18^2)*((B13/(B5^2))+(B17/(B12^2)))/(1+(B17/(B12^2))^2)</f>
        <v>7.9220025796677612E-2</v>
      </c>
    </row>
    <row r="20" spans="1:2" ht="15" x14ac:dyDescent="0.25">
      <c r="A20" s="16" t="s">
        <v>4</v>
      </c>
      <c r="B20" s="17">
        <f>SQRT(B19)</f>
        <v>0.28146052262560306</v>
      </c>
    </row>
    <row r="21" spans="1:2" ht="15" x14ac:dyDescent="0.25">
      <c r="A21" s="5"/>
      <c r="B21" s="3"/>
    </row>
    <row r="22" spans="1:2" ht="15" x14ac:dyDescent="0.25">
      <c r="A22" s="5"/>
      <c r="B22" s="3"/>
    </row>
    <row r="23" spans="1:2" ht="15.6" x14ac:dyDescent="0.3">
      <c r="A23" s="8" t="s">
        <v>14</v>
      </c>
      <c r="B23" s="3"/>
    </row>
    <row r="24" spans="1:2" ht="15.6" x14ac:dyDescent="0.3">
      <c r="A24" s="9" t="s">
        <v>15</v>
      </c>
      <c r="B24"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3.2" x14ac:dyDescent="0.25"/>
  <cols>
    <col min="1" max="1" width="57.5546875" customWidth="1"/>
    <col min="2" max="2" width="36.44140625" bestFit="1" customWidth="1"/>
  </cols>
  <sheetData>
    <row r="1" spans="1:2" ht="15.6" x14ac:dyDescent="0.3">
      <c r="A1" s="11" t="s">
        <v>41</v>
      </c>
      <c r="B1" s="12" t="s">
        <v>43</v>
      </c>
    </row>
    <row r="2" spans="1:2" ht="15" x14ac:dyDescent="0.25">
      <c r="A2" s="13" t="s">
        <v>25</v>
      </c>
      <c r="B2" s="14">
        <v>100</v>
      </c>
    </row>
    <row r="3" spans="1:2" ht="15" x14ac:dyDescent="0.25">
      <c r="A3" s="13" t="s">
        <v>26</v>
      </c>
      <c r="B3" s="14">
        <v>75</v>
      </c>
    </row>
    <row r="4" spans="1:2" ht="15" x14ac:dyDescent="0.25">
      <c r="A4" s="13" t="s">
        <v>27</v>
      </c>
      <c r="B4" s="14">
        <v>84</v>
      </c>
    </row>
    <row r="5" spans="1:2" ht="15" x14ac:dyDescent="0.25">
      <c r="A5" s="13" t="s">
        <v>28</v>
      </c>
      <c r="B5" s="14">
        <v>80</v>
      </c>
    </row>
    <row r="6" spans="1:2" ht="15" x14ac:dyDescent="0.25">
      <c r="A6" s="16" t="s">
        <v>11</v>
      </c>
      <c r="B6" s="17">
        <f>B2*(B5/B4)</f>
        <v>95.238095238095227</v>
      </c>
    </row>
    <row r="7" spans="1:2" ht="15" x14ac:dyDescent="0.25">
      <c r="A7" s="16" t="s">
        <v>12</v>
      </c>
      <c r="B7" s="18">
        <f>B3</f>
        <v>75</v>
      </c>
    </row>
    <row r="8" spans="1:2" ht="15" x14ac:dyDescent="0.25">
      <c r="A8" s="16" t="s">
        <v>13</v>
      </c>
      <c r="B8" s="17">
        <f>(B6^2)*((1/B2)+(1/B4)+(1/B5))</f>
        <v>312.06133246949571</v>
      </c>
    </row>
    <row r="9" spans="1:2" ht="15" x14ac:dyDescent="0.25">
      <c r="A9" s="16" t="s">
        <v>2</v>
      </c>
      <c r="B9" s="17">
        <f>(B3/B6)/(1+(B8/(B6^2)))</f>
        <v>0.76130740016112342</v>
      </c>
    </row>
    <row r="10" spans="1:2" ht="15" x14ac:dyDescent="0.25">
      <c r="A10" s="16" t="s">
        <v>3</v>
      </c>
      <c r="B10" s="17">
        <f>(B9^2)*((B7/(B3^2))+(B8/(B6^2)))/(1+(B8/(B6^2))^2)</f>
        <v>2.7635760745532995E-2</v>
      </c>
    </row>
    <row r="11" spans="1:2" ht="15" x14ac:dyDescent="0.25">
      <c r="A11" s="16" t="s">
        <v>4</v>
      </c>
      <c r="B11" s="17">
        <f>SQRT(B10)</f>
        <v>0.16624006961479834</v>
      </c>
    </row>
    <row r="12" spans="1:2" ht="15" x14ac:dyDescent="0.25">
      <c r="A12" s="5"/>
      <c r="B12" s="3"/>
    </row>
    <row r="13" spans="1:2" ht="15" x14ac:dyDescent="0.25">
      <c r="A13" s="5"/>
      <c r="B13" s="3"/>
    </row>
    <row r="14" spans="1:2" ht="15.6" x14ac:dyDescent="0.3">
      <c r="A14" s="8" t="s">
        <v>14</v>
      </c>
      <c r="B14" s="3"/>
    </row>
    <row r="15" spans="1:2" ht="15.6" x14ac:dyDescent="0.3">
      <c r="A15" s="9" t="s">
        <v>15</v>
      </c>
      <c r="B15" s="3"/>
    </row>
    <row r="18" spans="1:1" ht="15.6" x14ac:dyDescent="0.3">
      <c r="A18" s="7" t="s">
        <v>22</v>
      </c>
    </row>
    <row r="19" spans="1:1" ht="15" x14ac:dyDescent="0.25">
      <c r="A19" s="6"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17" sqref="A17:A18"/>
    </sheetView>
  </sheetViews>
  <sheetFormatPr defaultRowHeight="13.2" x14ac:dyDescent="0.25"/>
  <cols>
    <col min="1" max="1" width="48.5546875" customWidth="1"/>
    <col min="2" max="2" width="37.77734375" bestFit="1" customWidth="1"/>
  </cols>
  <sheetData>
    <row r="1" spans="1:6" ht="15.6" x14ac:dyDescent="0.3">
      <c r="A1" s="11" t="s">
        <v>41</v>
      </c>
      <c r="B1" s="12" t="s">
        <v>44</v>
      </c>
    </row>
    <row r="2" spans="1:6" ht="15" x14ac:dyDescent="0.25">
      <c r="A2" s="13" t="s">
        <v>29</v>
      </c>
      <c r="B2" s="14">
        <v>18</v>
      </c>
    </row>
    <row r="3" spans="1:6" ht="15" x14ac:dyDescent="0.25">
      <c r="A3" s="13" t="s">
        <v>30</v>
      </c>
      <c r="B3" s="14">
        <v>10</v>
      </c>
    </row>
    <row r="4" spans="1:6" ht="15" x14ac:dyDescent="0.25">
      <c r="A4" s="13" t="s">
        <v>31</v>
      </c>
      <c r="B4" s="20">
        <f>3*F12</f>
        <v>3.5631992396713419</v>
      </c>
      <c r="D4" s="6" t="s">
        <v>36</v>
      </c>
    </row>
    <row r="5" spans="1:6" ht="15" x14ac:dyDescent="0.25">
      <c r="A5" s="13" t="s">
        <v>32</v>
      </c>
      <c r="B5" s="20">
        <f>2*F13</f>
        <v>4.4000709952713573</v>
      </c>
      <c r="D5" s="6" t="s">
        <v>37</v>
      </c>
    </row>
    <row r="6" spans="1:6" ht="15" x14ac:dyDescent="0.25">
      <c r="A6" s="13" t="s">
        <v>33</v>
      </c>
      <c r="B6" s="14">
        <v>0.24</v>
      </c>
    </row>
    <row r="7" spans="1:6" ht="15" x14ac:dyDescent="0.25">
      <c r="A7" s="16" t="s">
        <v>34</v>
      </c>
      <c r="B7" s="17">
        <f>1/(1+B6*B4)</f>
        <v>0.53903479273169008</v>
      </c>
    </row>
    <row r="8" spans="1:6" ht="15" x14ac:dyDescent="0.25">
      <c r="A8" s="16" t="s">
        <v>35</v>
      </c>
      <c r="B8" s="17">
        <f>B7*B4+(1-B7)*B2</f>
        <v>10.218062094447536</v>
      </c>
    </row>
    <row r="9" spans="1:6" ht="15" x14ac:dyDescent="0.25">
      <c r="A9" s="16" t="s">
        <v>11</v>
      </c>
      <c r="B9" s="17">
        <f>B8*(B5/B4)</f>
        <v>12.617930018925151</v>
      </c>
    </row>
    <row r="10" spans="1:6" ht="15" x14ac:dyDescent="0.25">
      <c r="A10" s="16" t="s">
        <v>12</v>
      </c>
      <c r="B10" s="18">
        <f>B3</f>
        <v>10</v>
      </c>
    </row>
    <row r="11" spans="1:6" ht="15" x14ac:dyDescent="0.25">
      <c r="A11" s="16" t="s">
        <v>13</v>
      </c>
      <c r="B11" s="17">
        <f>(B9^2)*((B5/B4)*(1-B7))</f>
        <v>90.628324842080602</v>
      </c>
    </row>
    <row r="12" spans="1:6" ht="15" x14ac:dyDescent="0.25">
      <c r="A12" s="16" t="s">
        <v>2</v>
      </c>
      <c r="B12" s="17">
        <f>(B3/B9)/(1+(B11/(B9^2)))</f>
        <v>0.50503945066400546</v>
      </c>
      <c r="D12" s="2" t="s">
        <v>39</v>
      </c>
      <c r="F12">
        <f>0.69*EXP(-8.56+0.6*LN(7000)+0.61*LN(500))</f>
        <v>1.1877330798904473</v>
      </c>
    </row>
    <row r="13" spans="1:6" ht="15" x14ac:dyDescent="0.25">
      <c r="A13" s="16" t="s">
        <v>3</v>
      </c>
      <c r="B13" s="17">
        <f>(B12^2)*((B10/(B3^2))+(B11/(B9^2)))/(1+(B11/(B9^2))^2)</f>
        <v>0.12892303685459849</v>
      </c>
      <c r="D13" s="2" t="s">
        <v>40</v>
      </c>
      <c r="F13">
        <f>1.08*EXP(-8.56+0.6*LN(7700)+0.61*LN(600))</f>
        <v>2.2000354976356786</v>
      </c>
    </row>
    <row r="14" spans="1:6" ht="15" x14ac:dyDescent="0.25">
      <c r="A14" s="16" t="s">
        <v>4</v>
      </c>
      <c r="B14" s="17">
        <f>SQRT(B13)</f>
        <v>0.35905854237797835</v>
      </c>
    </row>
    <row r="15" spans="1:6" ht="15" x14ac:dyDescent="0.25">
      <c r="A15" s="5"/>
      <c r="B15" s="3"/>
    </row>
    <row r="16" spans="1:6" ht="15" x14ac:dyDescent="0.25">
      <c r="A16" s="5"/>
      <c r="B16" s="3"/>
    </row>
    <row r="17" spans="1:2" ht="15.6" x14ac:dyDescent="0.3">
      <c r="A17" s="8" t="s">
        <v>14</v>
      </c>
      <c r="B17" s="3"/>
    </row>
    <row r="18" spans="1:2" ht="15.6" x14ac:dyDescent="0.3">
      <c r="A18" s="9" t="s">
        <v>15</v>
      </c>
      <c r="B18" s="3"/>
    </row>
    <row r="21" spans="1:2" ht="15.6" x14ac:dyDescent="0.3">
      <c r="A21" s="7" t="s">
        <v>21</v>
      </c>
    </row>
    <row r="22" spans="1:2" ht="15" x14ac:dyDescent="0.25">
      <c r="A22" s="6" t="s">
        <v>24</v>
      </c>
    </row>
    <row r="23" spans="1:2" ht="15" x14ac:dyDescent="0.25">
      <c r="A23" s="6" t="s">
        <v>38</v>
      </c>
    </row>
    <row r="24" spans="1:2" ht="15" x14ac:dyDescent="0.25">
      <c r="A24" s="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heetViews>
  <sheetFormatPr defaultRowHeight="13.2" x14ac:dyDescent="0.25"/>
  <cols>
    <col min="1" max="1" width="73.109375" style="22" customWidth="1"/>
    <col min="2" max="2" width="37.77734375" bestFit="1" customWidth="1"/>
  </cols>
  <sheetData>
    <row r="1" spans="1:2" ht="15.6" x14ac:dyDescent="0.3">
      <c r="A1" s="21" t="s">
        <v>41</v>
      </c>
      <c r="B1" s="12" t="s">
        <v>67</v>
      </c>
    </row>
    <row r="2" spans="1:2" ht="15" x14ac:dyDescent="0.25">
      <c r="A2" s="23" t="s">
        <v>46</v>
      </c>
      <c r="B2" s="24">
        <v>193</v>
      </c>
    </row>
    <row r="3" spans="1:2" ht="15" x14ac:dyDescent="0.25">
      <c r="A3" s="25" t="s">
        <v>47</v>
      </c>
      <c r="B3" s="26">
        <v>1</v>
      </c>
    </row>
    <row r="4" spans="1:2" ht="15" x14ac:dyDescent="0.25">
      <c r="A4" s="25" t="s">
        <v>48</v>
      </c>
      <c r="B4" s="26">
        <v>1</v>
      </c>
    </row>
    <row r="5" spans="1:2" ht="15" x14ac:dyDescent="0.25">
      <c r="A5" s="25" t="s">
        <v>49</v>
      </c>
      <c r="B5" s="26">
        <f>B2</f>
        <v>193</v>
      </c>
    </row>
    <row r="6" spans="1:2" ht="15" x14ac:dyDescent="0.25">
      <c r="A6" s="23" t="s">
        <v>63</v>
      </c>
      <c r="B6" s="24">
        <v>1E-3</v>
      </c>
    </row>
    <row r="7" spans="1:2" ht="15" x14ac:dyDescent="0.25">
      <c r="A7" s="23" t="s">
        <v>50</v>
      </c>
      <c r="B7" s="24">
        <v>0.1</v>
      </c>
    </row>
    <row r="8" spans="1:2" ht="15" x14ac:dyDescent="0.25">
      <c r="A8" s="25" t="s">
        <v>51</v>
      </c>
      <c r="B8" s="27">
        <f>ABS(NORMSINV(B7/2))</f>
        <v>1.6448536269514726</v>
      </c>
    </row>
    <row r="9" spans="1:2" ht="15" x14ac:dyDescent="0.25">
      <c r="A9" s="23" t="s">
        <v>52</v>
      </c>
      <c r="B9" s="24">
        <v>20</v>
      </c>
    </row>
    <row r="10" spans="1:2" ht="15" x14ac:dyDescent="0.25">
      <c r="A10" s="25" t="s">
        <v>53</v>
      </c>
      <c r="B10" s="26">
        <f>B2*B3</f>
        <v>193</v>
      </c>
    </row>
    <row r="11" spans="1:2" ht="15" x14ac:dyDescent="0.25">
      <c r="A11" s="25" t="s">
        <v>54</v>
      </c>
      <c r="B11" s="26">
        <f>B2*B4*(1-B9/100)</f>
        <v>154.4</v>
      </c>
    </row>
    <row r="12" spans="1:2" ht="15" x14ac:dyDescent="0.25">
      <c r="A12" s="25" t="s">
        <v>55</v>
      </c>
      <c r="B12" s="26">
        <f>B5*B3</f>
        <v>193</v>
      </c>
    </row>
    <row r="13" spans="1:2" ht="15" x14ac:dyDescent="0.25">
      <c r="A13" s="25" t="s">
        <v>56</v>
      </c>
      <c r="B13" s="26">
        <f>B5*B4</f>
        <v>193</v>
      </c>
    </row>
    <row r="14" spans="1:2" ht="15" x14ac:dyDescent="0.25">
      <c r="A14" s="25" t="s">
        <v>57</v>
      </c>
      <c r="B14" s="26">
        <f>B10*B13/B12</f>
        <v>193</v>
      </c>
    </row>
    <row r="15" spans="1:2" ht="15" x14ac:dyDescent="0.25">
      <c r="A15" s="25" t="s">
        <v>58</v>
      </c>
      <c r="B15" s="26">
        <f>B10*(B13/B12)^2*(1+B10*B6+B10/B12+B10/B13)</f>
        <v>616.24900000000002</v>
      </c>
    </row>
    <row r="16" spans="1:2" ht="15" x14ac:dyDescent="0.25">
      <c r="A16" s="25" t="s">
        <v>59</v>
      </c>
      <c r="B16" s="26">
        <f>B11/B14</f>
        <v>0.8</v>
      </c>
    </row>
    <row r="17" spans="1:6" ht="15" x14ac:dyDescent="0.25">
      <c r="A17" s="25" t="s">
        <v>60</v>
      </c>
      <c r="B17" s="28">
        <f>(B16^2*(1/B11+B15/B14^2))^0.5</f>
        <v>0.12138065846214818</v>
      </c>
    </row>
    <row r="18" spans="1:6" ht="15" x14ac:dyDescent="0.25">
      <c r="A18" s="25" t="s">
        <v>61</v>
      </c>
      <c r="B18" s="29">
        <f>B16-B8*B17</f>
        <v>0.60034658368677762</v>
      </c>
    </row>
    <row r="19" spans="1:6" ht="15" x14ac:dyDescent="0.25">
      <c r="A19" s="25" t="s">
        <v>62</v>
      </c>
      <c r="B19" s="29">
        <f xml:space="preserve"> B16+B8*B17</f>
        <v>0.99965341631322246</v>
      </c>
    </row>
    <row r="21" spans="1:6" ht="15.6" x14ac:dyDescent="0.3">
      <c r="A21" s="8" t="s">
        <v>14</v>
      </c>
    </row>
    <row r="22" spans="1:6" ht="15.6" x14ac:dyDescent="0.3">
      <c r="A22" s="9" t="s">
        <v>15</v>
      </c>
    </row>
    <row r="24" spans="1:6" ht="69" customHeight="1" x14ac:dyDescent="0.25">
      <c r="A24" s="30" t="s">
        <v>64</v>
      </c>
      <c r="B24" s="30"/>
      <c r="C24" s="32"/>
      <c r="D24" s="32"/>
      <c r="E24" s="32"/>
      <c r="F24" s="32"/>
    </row>
    <row r="25" spans="1:6" ht="13.2" customHeight="1" x14ac:dyDescent="0.25">
      <c r="A25" s="32"/>
      <c r="B25" s="32"/>
      <c r="C25" s="32"/>
      <c r="D25" s="32"/>
      <c r="E25" s="32"/>
      <c r="F25" s="32"/>
    </row>
    <row r="26" spans="1:6" ht="47.4" customHeight="1" x14ac:dyDescent="0.25">
      <c r="A26" s="30" t="s">
        <v>65</v>
      </c>
      <c r="B26" s="30"/>
      <c r="C26" s="33"/>
      <c r="D26" s="33"/>
      <c r="E26" s="33"/>
      <c r="F26" s="33"/>
    </row>
    <row r="27" spans="1:6" ht="13.2" customHeight="1" x14ac:dyDescent="0.25">
      <c r="A27" s="33"/>
      <c r="B27" s="33"/>
      <c r="C27" s="33"/>
      <c r="D27" s="33"/>
      <c r="E27" s="33"/>
      <c r="F27" s="33"/>
    </row>
    <row r="28" spans="1:6" ht="79.8" customHeight="1" x14ac:dyDescent="0.25">
      <c r="A28" s="31" t="s">
        <v>66</v>
      </c>
      <c r="B28" s="31"/>
      <c r="C28" s="34"/>
      <c r="D28" s="34"/>
      <c r="E28" s="34"/>
      <c r="F28" s="34"/>
    </row>
    <row r="29" spans="1:6" ht="13.2" customHeight="1" x14ac:dyDescent="0.25">
      <c r="A29" s="34"/>
      <c r="B29" s="34"/>
      <c r="C29" s="34"/>
      <c r="D29" s="34"/>
      <c r="E29" s="34"/>
      <c r="F29" s="34"/>
    </row>
  </sheetData>
  <mergeCells count="3">
    <mergeCell ref="A24:B24"/>
    <mergeCell ref="A26:B26"/>
    <mergeCell ref="A28: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Simple Before-After</vt:lpstr>
      <vt:lpstr>Comparison Group Before-After</vt:lpstr>
      <vt:lpstr>Empirical Bayes Before-After</vt:lpstr>
      <vt:lpstr>Sample Size</vt:lpstr>
    </vt:vector>
  </TitlesOfParts>
  <Compa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Gross, Frank</cp:lastModifiedBy>
  <cp:lastPrinted>2010-04-15T13:48:13Z</cp:lastPrinted>
  <dcterms:created xsi:type="dcterms:W3CDTF">2009-11-17T19:16:12Z</dcterms:created>
  <dcterms:modified xsi:type="dcterms:W3CDTF">2017-06-06T16:34:55Z</dcterms:modified>
</cp:coreProperties>
</file>