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&amp;P\FLAP\State Specific\KS\Call for Projects\2025 Cycle 4\2. Application Materials\"/>
    </mc:Choice>
  </mc:AlternateContent>
  <xr:revisionPtr revIDLastSave="0" documentId="8_{7606DA0D-EEE4-4BAD-BA02-7E5EF2BDDEDD}" xr6:coauthVersionLast="47" xr6:coauthVersionMax="47" xr10:uidLastSave="{00000000-0000-0000-0000-000000000000}"/>
  <bookViews>
    <workbookView xWindow="-120" yWindow="-120" windowWidth="29040" windowHeight="15720" tabRatio="692" activeTab="5" xr2:uid="{35A8B33D-68FE-4A96-990B-2FA43417431F}"/>
  </bookViews>
  <sheets>
    <sheet name="READ FIRST" sheetId="37" r:id="rId1"/>
    <sheet name="Sample 1 - Major Reconstruction" sheetId="3" r:id="rId2"/>
    <sheet name="Sample 2 - Rehabilitation" sheetId="33" r:id="rId3"/>
    <sheet name="Sample 3 - Parking Lot" sheetId="34" r:id="rId4"/>
    <sheet name="Sample 4 - Share Use Path" sheetId="35" r:id="rId5"/>
    <sheet name="Sample 5 - Intersection" sheetId="38" r:id="rId6"/>
  </sheets>
  <externalReferences>
    <externalReference r:id="rId7"/>
  </externalReferences>
  <definedNames>
    <definedName name="Account">[1]Listing!$G$3</definedName>
    <definedName name="AccountRange">[1]EE_Summary!$F$1</definedName>
    <definedName name="Accounts">INDIRECT(AccountRange)</definedName>
    <definedName name="All?">[1]Listing!$P$3</definedName>
    <definedName name="AwardDate">'[1]Bid Tabs Summary'!$F$25</definedName>
    <definedName name="Awarded2">'[1]Bid Tabs Summary'!$C$25</definedName>
    <definedName name="Awd?">[1]Listing!$P$2</definedName>
    <definedName name="Base">[1]Information!$I$25</definedName>
    <definedName name="BeginLine">[1]Information!$I$23</definedName>
    <definedName name="Bid?">[1]Listing!$P$1</definedName>
    <definedName name="Bidders">INDIRECT(BiddersRange)</definedName>
    <definedName name="BiddersRange">'[1]Bid Tabs'!$F$2</definedName>
    <definedName name="Bids">INDIRECT(BidsRange)</definedName>
    <definedName name="BidsRange">'[1]Bid Tabs'!$G$2</definedName>
    <definedName name="BridgeList">[1]Items!$L$1</definedName>
    <definedName name="col_D">[1]Calculations!$AJ$2</definedName>
    <definedName name="col_Description">[1]Calculations!$C$2</definedName>
    <definedName name="col_R">[1]Calculations!$BZ$2</definedName>
    <definedName name="col_Remarks">[1]Calculations!$AS$2</definedName>
    <definedName name="ConstrList">[1]Items!$M$1</definedName>
    <definedName name="ConstrType">[1]EE_Summary!$D$10</definedName>
    <definedName name="County">[1]EE_Summary!$E$8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Decimals">[1]Information!$I$26</definedName>
    <definedName name="Description">[1]Information!$I$9</definedName>
    <definedName name="Division">[1]Information!$I$4</definedName>
    <definedName name="EE">'[1]Bid Tabs'!$F$7</definedName>
    <definedName name="EE.Acct">[1]EE_Summary!$F$27</definedName>
    <definedName name="EE.AcctCalc">[1]Listing!$G$1</definedName>
    <definedName name="EngEst">[1]Listing!$J$1</definedName>
    <definedName name="FLMA">[1]Information!$I$8</definedName>
    <definedName name="FLMA1">[1]EE_Summary!$E$4</definedName>
    <definedName name="FLMA2">[1]EE_Summary!$E$5</definedName>
    <definedName name="FP">[1]Information!$B$1</definedName>
    <definedName name="Full?">[1]Listing!$P$4</definedName>
    <definedName name="Incr">[1]Information!$I$24</definedName>
    <definedName name="ItemListDef">[1]Items!$H$1</definedName>
    <definedName name="ItemListing">INDIRECT(ItemListDef)</definedName>
    <definedName name="LaneMiles">[1]Information!$I$13</definedName>
    <definedName name="Letter">[1]Information!$J$12</definedName>
    <definedName name="lines_D">[1]Calculations!$AJ$1</definedName>
    <definedName name="lines_R">[1]Calculations!$BZ$1</definedName>
    <definedName name="Location">[1]EE_Summary!$D$9</definedName>
    <definedName name="MaxAccts">[1]Information!$I$34</definedName>
    <definedName name="MaxRows">[1]Information!$I$28</definedName>
    <definedName name="MinRows">[1]Information!$I$27</definedName>
    <definedName name="Name">[1]Information!$I$7</definedName>
    <definedName name="NumEstItems">[1]Inputs!$AF$3</definedName>
    <definedName name="NumPayItems">[1]Inputs!$E$3</definedName>
    <definedName name="Prefix">[1]Information!$I$31</definedName>
    <definedName name="Project">[1]Information!$I$6</definedName>
    <definedName name="ProjectLength">[1]EE_Summary!$F$23:$F$25</definedName>
    <definedName name="ProjectLine1">[1]EE_Summary!$C$4</definedName>
    <definedName name="ProjectLine2">[1]EE_Summary!$C$5</definedName>
    <definedName name="RangeAmend">[1]Information!$I$49</definedName>
    <definedName name="RangeContrQty">[1]Information!$I$48</definedName>
    <definedName name="RangeCount">[1]Information!$I$45</definedName>
    <definedName name="RangeEstCount">[1]Information!$I$46</definedName>
    <definedName name="RangeItems">[1]Information!$I$37</definedName>
    <definedName name="RangePlanCount">[1]Information!$I$47</definedName>
    <definedName name="RangeQuantity">[1]Information!$I$41</definedName>
    <definedName name="RangeUnit">[1]Information!$I$40</definedName>
    <definedName name="RangeUnitPrice">[1]Information!$I$50</definedName>
    <definedName name="SchedOpt">[1]Information!$I$11</definedName>
    <definedName name="Sheet">[1]Information!$I$18</definedName>
    <definedName name="SheetsAvailable">[1]Information!$I$33</definedName>
    <definedName name="SheetsNeeded">[1]Information!$I$32</definedName>
    <definedName name="State">[1]Information!$I$5</definedName>
    <definedName name="TabAmount">'[1]Bid Tabs'!$G$8</definedName>
    <definedName name="TabCount">'[1]Bid Tabs'!$A$8</definedName>
    <definedName name="Table_rows">[1]Information!$I$29</definedName>
    <definedName name="TotalLines">[1]Information!$I$30</definedName>
    <definedName name="Units">[1]Information!$I$10</definedName>
    <definedName name="widthPayItem" comment="Pay item description column width">[1]Calculations!$C$1</definedName>
    <definedName name="widthRemarks" comment="Remarks column width">[1]Calculations!$AS$1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8" l="1"/>
  <c r="E10" i="38"/>
  <c r="E8" i="33"/>
  <c r="E10" i="33"/>
  <c r="E9" i="33"/>
  <c r="F7" i="38"/>
  <c r="F7" i="35"/>
  <c r="F7" i="34"/>
  <c r="C29" i="38"/>
  <c r="F14" i="38"/>
  <c r="F13" i="38"/>
  <c r="F12" i="38"/>
  <c r="F11" i="38"/>
  <c r="F10" i="38"/>
  <c r="F9" i="38"/>
  <c r="F8" i="38"/>
  <c r="F16" i="38"/>
  <c r="F22" i="38"/>
  <c r="C30" i="35"/>
  <c r="C34" i="34"/>
  <c r="C29" i="33"/>
  <c r="C37" i="3"/>
  <c r="F23" i="38"/>
  <c r="F24" i="38"/>
  <c r="F19" i="38"/>
  <c r="F20" i="38"/>
  <c r="F21" i="38"/>
  <c r="F11" i="33"/>
  <c r="F12" i="33"/>
  <c r="F26" i="38"/>
  <c r="D27" i="38"/>
  <c r="F17" i="34"/>
  <c r="F18" i="34"/>
  <c r="F16" i="34"/>
  <c r="F13" i="34"/>
  <c r="D28" i="38"/>
  <c r="D29" i="38" s="1"/>
  <c r="F19" i="3"/>
  <c r="F8" i="3"/>
  <c r="F11" i="35"/>
  <c r="F15" i="35"/>
  <c r="F14" i="35"/>
  <c r="F13" i="35"/>
  <c r="F12" i="35"/>
  <c r="F10" i="35"/>
  <c r="F9" i="35"/>
  <c r="F8" i="35"/>
  <c r="F19" i="34"/>
  <c r="F15" i="34"/>
  <c r="F14" i="34"/>
  <c r="F12" i="34"/>
  <c r="F11" i="34"/>
  <c r="F10" i="34"/>
  <c r="F9" i="34"/>
  <c r="F8" i="34"/>
  <c r="F14" i="33"/>
  <c r="F13" i="33"/>
  <c r="F10" i="33"/>
  <c r="F9" i="33"/>
  <c r="F8" i="33"/>
  <c r="F7" i="33"/>
  <c r="F18" i="3"/>
  <c r="F16" i="3"/>
  <c r="F14" i="3"/>
  <c r="F7" i="3"/>
  <c r="F20" i="3"/>
  <c r="F21" i="3"/>
  <c r="F22" i="3"/>
  <c r="F21" i="34"/>
  <c r="F16" i="33"/>
  <c r="F21" i="33"/>
  <c r="F17" i="35"/>
  <c r="F21" i="35"/>
  <c r="F25" i="35"/>
  <c r="F22" i="35"/>
  <c r="F20" i="35"/>
  <c r="F23" i="35"/>
  <c r="F24" i="35"/>
  <c r="F29" i="34"/>
  <c r="F27" i="34"/>
  <c r="F28" i="34"/>
  <c r="F25" i="34"/>
  <c r="F26" i="34"/>
  <c r="F24" i="34"/>
  <c r="F23" i="33"/>
  <c r="F22" i="33"/>
  <c r="F24" i="33"/>
  <c r="F19" i="33"/>
  <c r="F20" i="33"/>
  <c r="F31" i="34"/>
  <c r="F26" i="33"/>
  <c r="F27" i="35"/>
  <c r="F10" i="3"/>
  <c r="F13" i="3"/>
  <c r="D28" i="35"/>
  <c r="D29" i="35"/>
  <c r="D30" i="35" s="1"/>
  <c r="D32" i="34"/>
  <c r="D33" i="34"/>
  <c r="D34" i="34" s="1"/>
  <c r="D27" i="33"/>
  <c r="D28" i="33"/>
  <c r="D29" i="33" s="1"/>
  <c r="F15" i="3"/>
  <c r="F12" i="3"/>
  <c r="F17" i="3"/>
  <c r="F11" i="3"/>
  <c r="F9" i="3"/>
  <c r="F24" i="3"/>
  <c r="F29" i="3"/>
  <c r="F27" i="3"/>
  <c r="F30" i="3"/>
  <c r="F31" i="3"/>
  <c r="F28" i="3"/>
  <c r="F32" i="3"/>
  <c r="F34" i="3"/>
  <c r="D35" i="3"/>
  <c r="D36" i="3"/>
  <c r="D37" i="3" s="1"/>
  <c r="D31" i="38" l="1"/>
  <c r="D32" i="38"/>
  <c r="D33" i="35"/>
  <c r="D32" i="35"/>
  <c r="C35" i="35"/>
  <c r="C36" i="35" s="1"/>
  <c r="D32" i="33"/>
  <c r="D31" i="33"/>
  <c r="D40" i="3"/>
  <c r="D39" i="3"/>
  <c r="C42" i="3" s="1"/>
  <c r="C43" i="3" s="1"/>
  <c r="D37" i="34"/>
  <c r="D36" i="34"/>
  <c r="C39" i="34" l="1"/>
  <c r="C40" i="34" s="1"/>
  <c r="C34" i="33"/>
  <c r="C35" i="33" s="1"/>
  <c r="C34" i="38"/>
  <c r="C35" i="38" s="1"/>
</calcChain>
</file>

<file path=xl/sharedStrings.xml><?xml version="1.0" encoding="utf-8"?>
<sst xmlns="http://schemas.openxmlformats.org/spreadsheetml/2006/main" count="319" uniqueCount="138">
  <si>
    <t>Remarks</t>
  </si>
  <si>
    <t>Unit</t>
  </si>
  <si>
    <t>Quantity</t>
  </si>
  <si>
    <t>Cost</t>
  </si>
  <si>
    <t>Mobilization</t>
  </si>
  <si>
    <t>Clearing and Grubbing</t>
  </si>
  <si>
    <t>Asphalt Pavement</t>
  </si>
  <si>
    <t>Guardrail</t>
  </si>
  <si>
    <t>Permanent Traffic Control</t>
  </si>
  <si>
    <t>Temporary Traffic Control</t>
  </si>
  <si>
    <t>Roadway Aggregate</t>
  </si>
  <si>
    <t>Subtotal</t>
  </si>
  <si>
    <t>LPSM</t>
  </si>
  <si>
    <t>CUYD</t>
  </si>
  <si>
    <t>TON</t>
  </si>
  <si>
    <t>LNFT</t>
  </si>
  <si>
    <t>MILE</t>
  </si>
  <si>
    <t>SQFT</t>
  </si>
  <si>
    <t>Full Depth Reclamation</t>
  </si>
  <si>
    <t>Utility Relocation</t>
  </si>
  <si>
    <t>SQYD</t>
  </si>
  <si>
    <t>Retaining Walls</t>
  </si>
  <si>
    <t>Unit Price</t>
  </si>
  <si>
    <t>Permanent Traffic Control &amp; Striping</t>
  </si>
  <si>
    <t>Right of Way Acqusition</t>
  </si>
  <si>
    <t>Contractor Quality Control &amp; Testing</t>
  </si>
  <si>
    <t>% of above Subtotal</t>
  </si>
  <si>
    <t>Construction Survey and Staking</t>
  </si>
  <si>
    <t>Roadway Excavation</t>
  </si>
  <si>
    <t>Embankment Construction</t>
  </si>
  <si>
    <t>Temporary Erosion Control</t>
  </si>
  <si>
    <t>Cost Estimate for Proposed Project</t>
  </si>
  <si>
    <r>
      <t>Preliminary Engineering (PE)</t>
    </r>
    <r>
      <rPr>
        <b/>
        <sz val="8"/>
        <color indexed="8"/>
        <rFont val="Calibri"/>
        <family val="2"/>
      </rPr>
      <t xml:space="preserve"> (Required for all projects)</t>
    </r>
  </si>
  <si>
    <r>
      <t xml:space="preserve">Construction Engineering (CE) </t>
    </r>
    <r>
      <rPr>
        <b/>
        <sz val="8"/>
        <color indexed="8"/>
        <rFont val="Calibri"/>
        <family val="2"/>
      </rPr>
      <t>(Required for all projects)</t>
    </r>
  </si>
  <si>
    <r>
      <t xml:space="preserve">Contingency </t>
    </r>
    <r>
      <rPr>
        <sz val="8"/>
        <color indexed="8"/>
        <rFont val="Calibri"/>
        <family val="2"/>
      </rPr>
      <t>(Required for all projects)</t>
    </r>
  </si>
  <si>
    <t>Work Item Description</t>
  </si>
  <si>
    <t>ACRE</t>
  </si>
  <si>
    <t>3 mile x 30 ft</t>
  </si>
  <si>
    <t>Assume 3 mile x 12 ft x 2"</t>
  </si>
  <si>
    <t>Boardwalk</t>
  </si>
  <si>
    <t>Assume 1200 ft</t>
  </si>
  <si>
    <t>Aggregate Base Material</t>
  </si>
  <si>
    <t>Assume 3 mile x 16 ft x 6"</t>
  </si>
  <si>
    <t>Assume 240 lnft of CMP, end sections, and riprap</t>
  </si>
  <si>
    <t>2 power poles will need to be relocated</t>
  </si>
  <si>
    <t xml:space="preserve">Drainage Improvements </t>
  </si>
  <si>
    <t>3 mile x 1 ft x 20 ft</t>
  </si>
  <si>
    <t>Watering for Dust Control</t>
  </si>
  <si>
    <t>Removals of Structures and Obstructions</t>
  </si>
  <si>
    <t>Waste</t>
  </si>
  <si>
    <t>Assume 10 ft tall x 400 ft</t>
  </si>
  <si>
    <t>Drainage Improvements</t>
  </si>
  <si>
    <t>Assume 2500 ft of CMP, 70 ft of RCBC</t>
  </si>
  <si>
    <t>Bridge Repair, Railing</t>
  </si>
  <si>
    <t>Pavement Recycling</t>
  </si>
  <si>
    <t>Aggregate Base</t>
  </si>
  <si>
    <t>Soil Nail/Rock Bolt/Mesh for slope armoring</t>
  </si>
  <si>
    <t>Turf Re-establishment</t>
  </si>
  <si>
    <t>Relocation of telephone line.</t>
  </si>
  <si>
    <t>Roadway Aggregate (for shouldering)</t>
  </si>
  <si>
    <t>Assume 4" depth x 47,000 sq. ft. area</t>
  </si>
  <si>
    <t>Assume 8" depth x 47,000 sq. ft. area</t>
  </si>
  <si>
    <t>Concrete Curb and Gutter</t>
  </si>
  <si>
    <t>Inlets</t>
  </si>
  <si>
    <t>EACH</t>
  </si>
  <si>
    <t>Culvert Pipe</t>
  </si>
  <si>
    <t>Includes landscaping</t>
  </si>
  <si>
    <t>Site Furnishings</t>
  </si>
  <si>
    <t>3 picnic tables and 2 benches</t>
  </si>
  <si>
    <t>Accessibility Ramps</t>
  </si>
  <si>
    <t>Utility relocations</t>
  </si>
  <si>
    <t>Sidewalk</t>
  </si>
  <si>
    <t>Assume 5 ft wide x 120 ft long</t>
  </si>
  <si>
    <t>Sample Project # 1</t>
  </si>
  <si>
    <t>Total Project Cost (Rounded)</t>
  </si>
  <si>
    <t>Sample Project # 2</t>
  </si>
  <si>
    <t>Total Project Cost</t>
  </si>
  <si>
    <t>Sample Project # 3</t>
  </si>
  <si>
    <t>Total Construction (CN)</t>
  </si>
  <si>
    <t>Sample Project # 4</t>
  </si>
  <si>
    <t>Increase contingency due to potential wetland impacts</t>
  </si>
  <si>
    <t>Assume 6" Depth</t>
  </si>
  <si>
    <t>Assume 3" Depth</t>
  </si>
  <si>
    <r>
      <t xml:space="preserve">Preliminary Engineering (PE)  </t>
    </r>
    <r>
      <rPr>
        <b/>
        <sz val="9"/>
        <color indexed="8"/>
        <rFont val="Calibri"/>
        <family val="2"/>
      </rPr>
      <t>(Required for all projects)</t>
    </r>
  </si>
  <si>
    <r>
      <t>Construction Engineering (CE)</t>
    </r>
    <r>
      <rPr>
        <b/>
        <sz val="9"/>
        <color indexed="8"/>
        <rFont val="Calibri"/>
        <family val="2"/>
      </rPr>
      <t xml:space="preserve"> (Required for all projects)</t>
    </r>
  </si>
  <si>
    <t>Delivery Year</t>
  </si>
  <si>
    <t>1)</t>
  </si>
  <si>
    <t>2)</t>
  </si>
  <si>
    <t>3)</t>
  </si>
  <si>
    <t>4)</t>
  </si>
  <si>
    <t>Update the following:</t>
  </si>
  <si>
    <t>Instructions for Cost Estimate</t>
  </si>
  <si>
    <t>a) Project Name</t>
  </si>
  <si>
    <t>d) Unit Price</t>
  </si>
  <si>
    <t>b) Scope of Work</t>
  </si>
  <si>
    <t>c) Work Items</t>
  </si>
  <si>
    <t>Submit spreadsheet with application.</t>
  </si>
  <si>
    <r>
      <t>Double check rounding in</t>
    </r>
    <r>
      <rPr>
        <b/>
        <sz val="11"/>
        <color indexed="8"/>
        <rFont val="Calibri"/>
        <family val="2"/>
      </rPr>
      <t xml:space="preserve"> Total Project Cost (Rounded).</t>
    </r>
  </si>
  <si>
    <t>5)</t>
  </si>
  <si>
    <t>Choose a sample estimate that fits closest to your scope.</t>
  </si>
  <si>
    <r>
      <t xml:space="preserve">Preliminary Engineering (PE) </t>
    </r>
    <r>
      <rPr>
        <b/>
        <sz val="8"/>
        <color indexed="8"/>
        <rFont val="Calibri"/>
        <family val="2"/>
      </rPr>
      <t xml:space="preserve"> (Required for all projects)</t>
    </r>
  </si>
  <si>
    <r>
      <t>Construction Engineering (CE)</t>
    </r>
    <r>
      <rPr>
        <b/>
        <sz val="9"/>
        <color indexed="8"/>
        <rFont val="Calibri"/>
        <family val="2"/>
      </rPr>
      <t xml:space="preserve"> </t>
    </r>
    <r>
      <rPr>
        <b/>
        <sz val="8"/>
        <color indexed="8"/>
        <rFont val="Calibri"/>
        <family val="2"/>
      </rPr>
      <t>(Required for all projects)</t>
    </r>
  </si>
  <si>
    <t>For additional information on estimating construction costs, please refer to:</t>
  </si>
  <si>
    <t>https://highways.dot.gov/federal-lands/estimates/cfl</t>
  </si>
  <si>
    <t>Refer to Table 1 in the CFL Engineer's Estimate Manual for guidance on contingencies</t>
  </si>
  <si>
    <t>Specifically, please refer to the CFL Engineer's Estimate Manual located here:</t>
  </si>
  <si>
    <t>https://highways.dot.gov/federal-lands/estimates/cfl/estimate-manual</t>
  </si>
  <si>
    <t>Sample Project # 5</t>
  </si>
  <si>
    <t>Construction Engineering (CE)</t>
  </si>
  <si>
    <t>Preliminary Engineering (PE)</t>
  </si>
  <si>
    <t>5 power poles and buried fiber optic will need to be relocated</t>
  </si>
  <si>
    <t>Intersection improvements to a National Wildlife Refuge on a high-speed divided highway - Local Public Agency delivered</t>
  </si>
  <si>
    <t>Assume two 0.25 mile x 20 ft x 9" depth</t>
  </si>
  <si>
    <t>Assume two 0.25 mile x 16 ft x 6" turn lanes</t>
  </si>
  <si>
    <t>Assume 10 miles x 28 ft x 3"</t>
  </si>
  <si>
    <t>Assume 10 miles x 4 ft x 6" depth</t>
  </si>
  <si>
    <t>10 miles of roadway rehabilitation including full depth reclamation, full depth asphalt, signing and striping - CFLHD delivered.</t>
  </si>
  <si>
    <t>Assumed direct costs only</t>
  </si>
  <si>
    <t>e) Quantity</t>
  </si>
  <si>
    <t xml:space="preserve">Permanent Erosion Control </t>
  </si>
  <si>
    <t>Permanent Erosion Control (e.g., Topsoil, Seed and Mulch)</t>
  </si>
  <si>
    <t>Permanent Erosion Control</t>
  </si>
  <si>
    <t>3 miles of paved shared use path with an anticipated boardwalk to avoid wetland impacts - CFLHD delivered.</t>
  </si>
  <si>
    <t>Parking lot at a visitor's center with a short (0.2 mile) access road - CFLHD delivered.</t>
  </si>
  <si>
    <t>Update the yellow highlighted cells on the Estimate tab only for the following information: (Cost field will automatically adjust by formula.)</t>
  </si>
  <si>
    <t>Assumed Construction Year:</t>
  </si>
  <si>
    <r>
      <t xml:space="preserve">1.1 miles of </t>
    </r>
    <r>
      <rPr>
        <b/>
        <i/>
        <sz val="11"/>
        <color indexed="8"/>
        <rFont val="Calibri"/>
        <family val="2"/>
      </rPr>
      <t>major reconstruction</t>
    </r>
    <r>
      <rPr>
        <i/>
        <sz val="11"/>
        <color indexed="8"/>
        <rFont val="Calibri"/>
        <family val="2"/>
      </rPr>
      <t xml:space="preserve"> of an existing road, widening, improving roadway geometry, constructing rockfall catchment areas, new guardrail, slope armoring, drainage improvements, retaining walls and minor bridge rehabiliation - CFLHD delivered.</t>
    </r>
  </si>
  <si>
    <t>Assume 2 private parcels at approx. $20k each.</t>
  </si>
  <si>
    <t>Lower % due to TTC needed at construction access points.</t>
  </si>
  <si>
    <t>Increased due to location</t>
  </si>
  <si>
    <t>The FLAP contribution will generally be a firm-fixed dollar amount when CFLHD isn't Lead Agency. Applicant responsible for 100% of cost overruns.</t>
  </si>
  <si>
    <r>
      <t xml:space="preserve">Inflation </t>
    </r>
    <r>
      <rPr>
        <sz val="8"/>
        <color indexed="8"/>
        <rFont val="Calibri"/>
        <family val="2"/>
      </rPr>
      <t>(Assumed 5% per year)</t>
    </r>
  </si>
  <si>
    <t>*Current Call for Projects is projected to be programmed for FY28-29; choose last year to be conservative</t>
  </si>
  <si>
    <t>STATE FLAP Application Proposed Project Cost Estimate Sample 5</t>
  </si>
  <si>
    <t>STATE FLAP Application Proposed Project Cost Estimate Sample 1</t>
  </si>
  <si>
    <t>STATE FLAP Application Proposed Project Cost Estimate Sample 2</t>
  </si>
  <si>
    <t>STATE FLAP Application Proposed Project Cost Estimate Sample 3</t>
  </si>
  <si>
    <t>STATE FLAP Application Proposed Project Cost Estimate Sample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</si>
</sst>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\)\ 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0" fillId="0" borderId="0"/>
    <xf numFmtId="9" fontId="8" fillId="0" borderId="0" applyFont="0" applyFill="0" applyBorder="0" applyAlignment="0" applyProtection="0"/>
  </cellStyleXfs>
  <cellXfs count="171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5" fontId="11" fillId="3" borderId="6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11" fillId="3" borderId="8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3" borderId="13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9" fontId="8" fillId="0" borderId="17" xfId="5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9" fontId="8" fillId="0" borderId="20" xfId="5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9" fontId="8" fillId="0" borderId="23" xfId="5" applyFont="1" applyBorder="1" applyAlignment="1">
      <alignment horizontal="center" vertical="center"/>
    </xf>
    <xf numFmtId="9" fontId="8" fillId="0" borderId="24" xfId="5" applyFon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3" fontId="0" fillId="0" borderId="32" xfId="0" applyNumberFormat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27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9" fontId="8" fillId="0" borderId="0" xfId="5" applyFont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3" fillId="0" borderId="41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3" fontId="0" fillId="4" borderId="4" xfId="0" applyNumberFormat="1" applyFill="1" applyBorder="1" applyAlignment="1">
      <alignment horizontal="center" vertical="center"/>
    </xf>
    <xf numFmtId="4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2" borderId="0" xfId="0" applyFont="1" applyFill="1" applyAlignment="1">
      <alignment horizontal="left" vertical="center"/>
    </xf>
    <xf numFmtId="9" fontId="8" fillId="0" borderId="4" xfId="5" applyFont="1" applyBorder="1" applyAlignment="1">
      <alignment horizontal="center"/>
    </xf>
    <xf numFmtId="0" fontId="0" fillId="4" borderId="35" xfId="0" applyFont="1" applyFill="1" applyBorder="1" applyAlignment="1">
      <alignment horizontal="left" vertical="center"/>
    </xf>
    <xf numFmtId="0" fontId="0" fillId="4" borderId="35" xfId="0" applyFill="1" applyBorder="1" applyAlignment="1">
      <alignment horizontal="left"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0" fillId="4" borderId="4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 wrapText="1"/>
    </xf>
    <xf numFmtId="14" fontId="0" fillId="0" borderId="0" xfId="0" applyNumberFormat="1" applyFont="1" applyFill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right"/>
    </xf>
    <xf numFmtId="0" fontId="0" fillId="2" borderId="0" xfId="0" applyFont="1" applyFill="1"/>
    <xf numFmtId="166" fontId="16" fillId="2" borderId="0" xfId="0" applyNumberFormat="1" applyFont="1" applyFill="1" applyAlignment="1">
      <alignment horizontal="right" vertical="top" wrapText="1"/>
    </xf>
    <xf numFmtId="0" fontId="16" fillId="2" borderId="0" xfId="0" applyFont="1" applyFill="1" applyAlignment="1">
      <alignment vertical="top" wrapText="1"/>
    </xf>
    <xf numFmtId="166" fontId="16" fillId="2" borderId="0" xfId="0" applyNumberFormat="1" applyFont="1" applyFill="1" applyAlignment="1">
      <alignment horizontal="right" vertical="top"/>
    </xf>
    <xf numFmtId="0" fontId="16" fillId="2" borderId="0" xfId="0" applyFont="1" applyFill="1" applyAlignment="1">
      <alignment horizontal="left" vertical="top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0" xfId="2"/>
    <xf numFmtId="0" fontId="0" fillId="0" borderId="43" xfId="0" applyBorder="1" applyAlignment="1">
      <alignment horizontal="center" vertical="center" wrapText="1"/>
    </xf>
    <xf numFmtId="9" fontId="8" fillId="0" borderId="44" xfId="5" applyNumberFormat="1" applyFont="1" applyBorder="1" applyAlignment="1">
      <alignment horizontal="center" vertical="center"/>
    </xf>
    <xf numFmtId="1" fontId="0" fillId="4" borderId="0" xfId="0" applyNumberFormat="1" applyFont="1" applyFill="1" applyAlignment="1">
      <alignment horizontal="left"/>
    </xf>
    <xf numFmtId="1" fontId="0" fillId="0" borderId="23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2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right" vertical="center"/>
    </xf>
    <xf numFmtId="0" fontId="0" fillId="0" borderId="12" xfId="0" applyFill="1" applyBorder="1" applyAlignment="1">
      <alignment vertical="center" wrapText="1"/>
    </xf>
    <xf numFmtId="0" fontId="12" fillId="2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0" fontId="13" fillId="0" borderId="19" xfId="0" applyFont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vertical="top" wrapText="1"/>
    </xf>
    <xf numFmtId="0" fontId="16" fillId="2" borderId="0" xfId="0" applyFont="1" applyFill="1" applyAlignment="1">
      <alignment vertical="top"/>
    </xf>
    <xf numFmtId="9" fontId="8" fillId="0" borderId="45" xfId="5" applyFont="1" applyBorder="1" applyAlignment="1">
      <alignment horizontal="center" vertical="center"/>
    </xf>
    <xf numFmtId="9" fontId="8" fillId="0" borderId="46" xfId="5" applyFont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165" fontId="0" fillId="0" borderId="44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14" fillId="0" borderId="20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65" fontId="13" fillId="0" borderId="17" xfId="0" applyNumberFormat="1" applyFont="1" applyBorder="1" applyAlignment="1">
      <alignment horizontal="center" vertical="center"/>
    </xf>
    <xf numFmtId="165" fontId="13" fillId="0" borderId="20" xfId="0" applyNumberFormat="1" applyFont="1" applyBorder="1" applyAlignment="1">
      <alignment horizontal="center" vertical="center"/>
    </xf>
    <xf numFmtId="165" fontId="14" fillId="0" borderId="17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165" fontId="13" fillId="0" borderId="52" xfId="0" applyNumberFormat="1" applyFont="1" applyBorder="1" applyAlignment="1">
      <alignment horizontal="center" vertical="center"/>
    </xf>
    <xf numFmtId="165" fontId="13" fillId="0" borderId="53" xfId="0" applyNumberFormat="1" applyFont="1" applyBorder="1" applyAlignment="1">
      <alignment horizontal="center" vertical="center"/>
    </xf>
    <xf numFmtId="165" fontId="13" fillId="0" borderId="54" xfId="0" applyNumberFormat="1" applyFont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5" fillId="4" borderId="3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right" vertical="center"/>
    </xf>
    <xf numFmtId="0" fontId="11" fillId="3" borderId="48" xfId="0" applyFont="1" applyFill="1" applyBorder="1" applyAlignment="1">
      <alignment horizontal="right" vertical="center"/>
    </xf>
    <xf numFmtId="0" fontId="11" fillId="3" borderId="49" xfId="0" applyFont="1" applyFill="1" applyBorder="1" applyAlignment="1">
      <alignment horizontal="right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right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</cellXfs>
  <cellStyles count="6">
    <cellStyle name="Currency" xfId="1" builtinId="4"/>
    <cellStyle name="Hyperlink" xfId="2" builtinId="8"/>
    <cellStyle name="Normal" xfId="0" builtinId="0"/>
    <cellStyle name="Normal 2" xfId="3" xr:uid="{0A536928-1D8E-4A32-9057-08AAF978069A}"/>
    <cellStyle name="Normal 3" xfId="4" xr:uid="{55BFCB79-5D41-4FC9-ACCA-C39020B65A1D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1864995</xdr:colOff>
      <xdr:row>26</xdr:row>
      <xdr:rowOff>11430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60BB54-240A-0F7E-5ACE-06C0206DFEFA}"/>
            </a:ext>
          </a:extLst>
        </xdr:cNvPr>
        <xdr:cNvSpPr txBox="1"/>
      </xdr:nvSpPr>
      <xdr:spPr>
        <a:xfrm>
          <a:off x="8582025" y="504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lprnt1.cflhd.local\common\UT\ut2016B(1)\ProjectManagers\1%20Project%20Delivery%20Plan\1.1%20Draft\1.1.7%20Prelim%20EE\UT%20FLAP%202016B(1)%20Scoping%20Estimate-22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Inputs"/>
      <sheetName val="Sheet"/>
      <sheetName val="Sheet (2)"/>
      <sheetName val="EE_Summary"/>
      <sheetName val="Listing"/>
      <sheetName val="Bid Tabs Summary"/>
      <sheetName val="Bid Tabs"/>
      <sheetName val="GIS"/>
      <sheetName val="Calculations"/>
      <sheetName val="Items"/>
      <sheetName val="Sheet1"/>
      <sheetName val="Sheet2"/>
      <sheetName val="Sheet5"/>
      <sheetName val="Summary"/>
      <sheetName val="Computation Sheet "/>
    </sheetNames>
    <sheetDataSet>
      <sheetData sheetId="0">
        <row r="1">
          <cell r="B1" t="str">
            <v>14</v>
          </cell>
        </row>
        <row r="4">
          <cell r="I4" t="str">
            <v>Central</v>
          </cell>
        </row>
        <row r="5">
          <cell r="I5" t="str">
            <v>UT</v>
          </cell>
        </row>
        <row r="6">
          <cell r="I6" t="str">
            <v>UT FLAP 2016B(1)</v>
          </cell>
        </row>
        <row r="7">
          <cell r="I7" t="str">
            <v>Kane Creek Blvd.</v>
          </cell>
        </row>
        <row r="8">
          <cell r="I8">
            <v>0</v>
          </cell>
        </row>
        <row r="9">
          <cell r="I9">
            <v>0</v>
          </cell>
        </row>
        <row r="10">
          <cell r="I10" t="str">
            <v>US Customary</v>
          </cell>
        </row>
        <row r="11">
          <cell r="I11" t="str">
            <v>Schedule</v>
          </cell>
        </row>
        <row r="12">
          <cell r="J12" t="str">
            <v>A</v>
          </cell>
        </row>
        <row r="13">
          <cell r="I13">
            <v>0</v>
          </cell>
        </row>
        <row r="18">
          <cell r="I18" t="str">
            <v>B.1</v>
          </cell>
        </row>
        <row r="23">
          <cell r="I23">
            <v>20</v>
          </cell>
        </row>
        <row r="24">
          <cell r="I24">
            <v>20</v>
          </cell>
        </row>
        <row r="25">
          <cell r="I25" t="str">
            <v>Sheet</v>
          </cell>
        </row>
        <row r="26">
          <cell r="I26" t="str">
            <v>Bid_Dec</v>
          </cell>
        </row>
        <row r="27">
          <cell r="I27">
            <v>5</v>
          </cell>
        </row>
        <row r="28">
          <cell r="I28">
            <v>40</v>
          </cell>
        </row>
        <row r="29">
          <cell r="I29">
            <v>40</v>
          </cell>
        </row>
        <row r="30">
          <cell r="I30">
            <v>88</v>
          </cell>
        </row>
        <row r="31">
          <cell r="I31" t="str">
            <v>B.</v>
          </cell>
        </row>
        <row r="32">
          <cell r="I32">
            <v>3</v>
          </cell>
        </row>
        <row r="33">
          <cell r="I33">
            <v>2</v>
          </cell>
        </row>
        <row r="34">
          <cell r="I34">
            <v>7</v>
          </cell>
        </row>
        <row r="37">
          <cell r="I37" t="str">
            <v>'[UT FLAP 2016B(1) Scoping Estimate-22ft.xlsx]Inputs'!$AN$5:$AN$286</v>
          </cell>
        </row>
        <row r="40">
          <cell r="I40" t="str">
            <v>'[UT FLAP 2016B(1) Scoping Estimate-22ft.xlsx]Inputs'!$G$5:$G$286</v>
          </cell>
        </row>
        <row r="41">
          <cell r="I41" t="str">
            <v>'[UT FLAP 2016B(1) Scoping Estimate-22ft.xlsx]Inputs'!$X$5:$X$286</v>
          </cell>
        </row>
        <row r="45">
          <cell r="I45" t="str">
            <v>Inputs!$A$5:$A$286</v>
          </cell>
        </row>
        <row r="46">
          <cell r="I46" t="str">
            <v>Inputs!$AJ$5:$AJ$286</v>
          </cell>
        </row>
        <row r="47">
          <cell r="I47" t="str">
            <v>Inputs!$AL$5:$AL$286</v>
          </cell>
        </row>
        <row r="48">
          <cell r="I48" t="str">
            <v>Inputs!$AH$5:$AH$286</v>
          </cell>
        </row>
        <row r="49">
          <cell r="I49" t="str">
            <v>Inputs!$AI$5:$AI$286</v>
          </cell>
        </row>
        <row r="50">
          <cell r="I50" t="str">
            <v>Inputs!$AF$5:$AF$286</v>
          </cell>
        </row>
      </sheetData>
      <sheetData sheetId="1">
        <row r="3">
          <cell r="E3">
            <v>62</v>
          </cell>
          <cell r="AF3">
            <v>62</v>
          </cell>
        </row>
      </sheetData>
      <sheetData sheetId="2"/>
      <sheetData sheetId="3"/>
      <sheetData sheetId="4">
        <row r="1">
          <cell r="F1" t="str">
            <v>EE_Summary!$D$13:$D$15</v>
          </cell>
        </row>
        <row r="4">
          <cell r="C4" t="str">
            <v>UT UT FLAP 2016B(1)</v>
          </cell>
          <cell r="E4" t="str">
            <v>FLMA No: </v>
          </cell>
        </row>
        <row r="5">
          <cell r="C5">
            <v>0</v>
          </cell>
          <cell r="E5">
            <v>0</v>
          </cell>
        </row>
        <row r="8">
          <cell r="E8" t="str">
            <v>Grand</v>
          </cell>
        </row>
        <row r="9">
          <cell r="D9" t="str">
            <v>BLM</v>
          </cell>
        </row>
        <row r="10">
          <cell r="D10" t="str">
            <v>25501 Constructing mechanically stabilized earth wall</v>
          </cell>
        </row>
        <row r="23">
          <cell r="F23">
            <v>3.84</v>
          </cell>
        </row>
        <row r="24">
          <cell r="F24">
            <v>0</v>
          </cell>
        </row>
        <row r="25">
          <cell r="F25">
            <v>0</v>
          </cell>
        </row>
        <row r="27">
          <cell r="F27">
            <v>12908147.395601576</v>
          </cell>
        </row>
      </sheetData>
      <sheetData sheetId="5">
        <row r="1">
          <cell r="G1">
            <v>12907753.887796251</v>
          </cell>
          <cell r="J1">
            <v>12908147.395601576</v>
          </cell>
          <cell r="P1" t="b">
            <v>0</v>
          </cell>
        </row>
        <row r="2">
          <cell r="P2" t="b">
            <v>0</v>
          </cell>
        </row>
        <row r="3">
          <cell r="G3" t="str">
            <v>ALL</v>
          </cell>
          <cell r="P3" t="b">
            <v>1</v>
          </cell>
        </row>
        <row r="4">
          <cell r="P4" t="b">
            <v>1</v>
          </cell>
        </row>
      </sheetData>
      <sheetData sheetId="6">
        <row r="25">
          <cell r="C25">
            <v>0</v>
          </cell>
          <cell r="F25">
            <v>0</v>
          </cell>
        </row>
      </sheetData>
      <sheetData sheetId="7">
        <row r="2">
          <cell r="F2" t="str">
            <v>'Bid Tabs'!$H$7:$H$7</v>
          </cell>
          <cell r="G2" t="str">
            <v>'Bid Tabs'!$H$3:$H$3</v>
          </cell>
        </row>
        <row r="7">
          <cell r="F7" t="str">
            <v>Engineer's Estimate</v>
          </cell>
        </row>
        <row r="8">
          <cell r="A8">
            <v>0</v>
          </cell>
          <cell r="G8" t="str">
            <v>Amount</v>
          </cell>
        </row>
      </sheetData>
      <sheetData sheetId="8"/>
      <sheetData sheetId="9">
        <row r="1">
          <cell r="C1">
            <v>30</v>
          </cell>
          <cell r="AJ1">
            <v>8</v>
          </cell>
          <cell r="AS1">
            <v>22</v>
          </cell>
          <cell r="BZ1">
            <v>8</v>
          </cell>
        </row>
        <row r="2">
          <cell r="C2">
            <v>3</v>
          </cell>
          <cell r="AJ2">
            <v>36</v>
          </cell>
          <cell r="AS2">
            <v>45</v>
          </cell>
          <cell r="BZ2">
            <v>78</v>
          </cell>
        </row>
      </sheetData>
      <sheetData sheetId="10">
        <row r="1">
          <cell r="H1" t="str">
            <v>Items!$A$3:$J$3781</v>
          </cell>
          <cell r="L1" t="str">
            <v>Items!$L$41:$L$78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ighways.dot.gov/federal-lands/estimates/cfl/estimate-manual" TargetMode="External"/><Relationship Id="rId1" Type="http://schemas.openxmlformats.org/officeDocument/2006/relationships/hyperlink" Target="https://highways.dot.gov/federal-lands/estimates/cf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80D0F-980C-4CDF-ADE5-51392230F339}">
  <dimension ref="A2:I24"/>
  <sheetViews>
    <sheetView zoomScale="130" zoomScaleNormal="130" workbookViewId="0">
      <selection activeCell="C5" sqref="C5"/>
    </sheetView>
  </sheetViews>
  <sheetFormatPr defaultRowHeight="15" x14ac:dyDescent="0.25"/>
  <cols>
    <col min="1" max="1" width="4.85546875" style="81" customWidth="1"/>
    <col min="2" max="2" width="26.42578125" style="1" customWidth="1"/>
    <col min="3" max="3" width="11.42578125" style="1" customWidth="1"/>
    <col min="4" max="4" width="27" style="1" customWidth="1"/>
    <col min="5" max="5" width="58.85546875" style="1" customWidth="1"/>
    <col min="6" max="7" width="9.140625" style="1"/>
    <col min="8" max="8" width="7.140625" style="1" hidden="1" customWidth="1"/>
    <col min="9" max="9" width="4.5703125" style="1" customWidth="1"/>
    <col min="10" max="16384" width="9.140625" style="1"/>
  </cols>
  <sheetData>
    <row r="2" spans="1:8" ht="18.75" x14ac:dyDescent="0.25">
      <c r="A2" s="103"/>
      <c r="B2" s="127" t="s">
        <v>91</v>
      </c>
      <c r="C2" s="127"/>
      <c r="D2" s="127"/>
      <c r="E2" s="127"/>
    </row>
    <row r="3" spans="1:8" x14ac:dyDescent="0.25">
      <c r="A3" s="105" t="s">
        <v>86</v>
      </c>
      <c r="B3" s="128" t="s">
        <v>99</v>
      </c>
      <c r="C3" s="128"/>
      <c r="D3" s="128"/>
      <c r="E3" s="128"/>
    </row>
    <row r="4" spans="1:8" x14ac:dyDescent="0.25">
      <c r="A4" s="105" t="s">
        <v>87</v>
      </c>
      <c r="B4" s="128" t="s">
        <v>90</v>
      </c>
      <c r="C4" s="128"/>
      <c r="D4" s="128"/>
      <c r="E4" s="128"/>
    </row>
    <row r="5" spans="1:8" x14ac:dyDescent="0.25">
      <c r="A5" s="105"/>
      <c r="B5" s="125" t="s">
        <v>125</v>
      </c>
      <c r="C5" s="118">
        <v>2029</v>
      </c>
      <c r="D5" s="106"/>
      <c r="E5" s="106"/>
    </row>
    <row r="6" spans="1:8" x14ac:dyDescent="0.25">
      <c r="A6" s="105"/>
      <c r="B6" s="124" t="s">
        <v>132</v>
      </c>
      <c r="C6" s="90"/>
      <c r="D6" s="106"/>
      <c r="E6" s="106"/>
    </row>
    <row r="7" spans="1:8" x14ac:dyDescent="0.25">
      <c r="A7" s="105" t="s">
        <v>88</v>
      </c>
      <c r="B7" s="129" t="s">
        <v>124</v>
      </c>
      <c r="C7" s="129"/>
      <c r="D7" s="129"/>
      <c r="E7" s="129"/>
    </row>
    <row r="8" spans="1:8" ht="15" customHeight="1" x14ac:dyDescent="0.25">
      <c r="A8" s="107"/>
      <c r="B8" s="108" t="s">
        <v>92</v>
      </c>
      <c r="C8" s="106"/>
      <c r="D8" s="104"/>
      <c r="E8" s="106"/>
      <c r="H8" s="1" t="s">
        <v>85</v>
      </c>
    </row>
    <row r="9" spans="1:8" x14ac:dyDescent="0.25">
      <c r="A9" s="103"/>
      <c r="B9" s="108" t="s">
        <v>94</v>
      </c>
      <c r="C9" s="104"/>
      <c r="D9" s="104"/>
      <c r="E9" s="104"/>
      <c r="H9" s="1">
        <v>2022</v>
      </c>
    </row>
    <row r="10" spans="1:8" x14ac:dyDescent="0.25">
      <c r="A10" s="103"/>
      <c r="B10" s="108" t="s">
        <v>95</v>
      </c>
      <c r="C10" s="104"/>
      <c r="D10" s="104"/>
      <c r="E10" s="104"/>
      <c r="H10" s="1">
        <v>2023</v>
      </c>
    </row>
    <row r="11" spans="1:8" x14ac:dyDescent="0.25">
      <c r="A11" s="103"/>
      <c r="B11" s="108" t="s">
        <v>93</v>
      </c>
      <c r="C11" s="104"/>
      <c r="D11" s="104"/>
      <c r="E11" s="104"/>
      <c r="H11" s="1">
        <v>2024</v>
      </c>
    </row>
    <row r="12" spans="1:8" x14ac:dyDescent="0.25">
      <c r="A12" s="103"/>
      <c r="B12" s="108" t="s">
        <v>118</v>
      </c>
      <c r="C12" s="104"/>
      <c r="D12" s="104"/>
      <c r="E12" s="104"/>
      <c r="H12" s="1">
        <v>2025</v>
      </c>
    </row>
    <row r="13" spans="1:8" x14ac:dyDescent="0.25">
      <c r="A13" s="105" t="s">
        <v>89</v>
      </c>
      <c r="B13" s="82" t="s">
        <v>97</v>
      </c>
      <c r="C13" s="104"/>
      <c r="D13" s="104"/>
      <c r="E13" s="104"/>
      <c r="H13" s="1">
        <v>2026</v>
      </c>
    </row>
    <row r="14" spans="1:8" x14ac:dyDescent="0.25">
      <c r="A14" s="105" t="s">
        <v>98</v>
      </c>
      <c r="B14" s="82" t="s">
        <v>96</v>
      </c>
      <c r="C14" s="104"/>
      <c r="D14" s="104"/>
      <c r="E14" s="104"/>
      <c r="H14" s="1">
        <v>2027</v>
      </c>
    </row>
    <row r="15" spans="1:8" x14ac:dyDescent="0.25">
      <c r="A15" s="103"/>
      <c r="B15" s="104"/>
      <c r="C15" s="104"/>
      <c r="D15" s="104"/>
      <c r="E15" s="104"/>
      <c r="H15" s="1">
        <v>2028</v>
      </c>
    </row>
    <row r="16" spans="1:8" x14ac:dyDescent="0.25">
      <c r="A16" s="103"/>
      <c r="B16" s="104" t="s">
        <v>102</v>
      </c>
      <c r="C16" s="104"/>
      <c r="D16" s="104"/>
      <c r="E16" s="104"/>
      <c r="H16" s="1">
        <v>2029</v>
      </c>
    </row>
    <row r="17" spans="2:9" x14ac:dyDescent="0.25">
      <c r="B17" s="115" t="s">
        <v>103</v>
      </c>
      <c r="H17" s="1">
        <v>2030</v>
      </c>
      <c r="I17" s="120"/>
    </row>
    <row r="18" spans="2:9" x14ac:dyDescent="0.25">
      <c r="H18" s="1">
        <v>2031</v>
      </c>
      <c r="I18" s="120"/>
    </row>
    <row r="19" spans="2:9" x14ac:dyDescent="0.25">
      <c r="B19" s="1" t="s">
        <v>105</v>
      </c>
      <c r="H19" s="1">
        <v>2032</v>
      </c>
      <c r="I19" s="120"/>
    </row>
    <row r="20" spans="2:9" x14ac:dyDescent="0.25">
      <c r="B20" s="115" t="s">
        <v>106</v>
      </c>
      <c r="H20" s="1">
        <v>2033</v>
      </c>
      <c r="I20" s="120"/>
    </row>
    <row r="21" spans="2:9" x14ac:dyDescent="0.25">
      <c r="H21" s="1">
        <v>2034</v>
      </c>
      <c r="I21" s="120"/>
    </row>
    <row r="22" spans="2:9" x14ac:dyDescent="0.25">
      <c r="H22" s="1">
        <v>2035</v>
      </c>
      <c r="I22" s="120"/>
    </row>
    <row r="23" spans="2:9" x14ac:dyDescent="0.25">
      <c r="H23" s="92"/>
      <c r="I23" s="120"/>
    </row>
    <row r="24" spans="2:9" x14ac:dyDescent="0.25">
      <c r="H24" s="92"/>
      <c r="I24" s="92"/>
    </row>
  </sheetData>
  <mergeCells count="4">
    <mergeCell ref="B2:E2"/>
    <mergeCell ref="B4:E4"/>
    <mergeCell ref="B7:E7"/>
    <mergeCell ref="B3:E3"/>
  </mergeCells>
  <dataValidations count="2">
    <dataValidation type="list" allowBlank="1" showInputMessage="1" showErrorMessage="1" sqref="C6" xr:uid="{3D2CE90B-4AA9-4C34-BF8D-EA1B66E87BF4}">
      <formula1>$H$12:$H$15</formula1>
    </dataValidation>
    <dataValidation type="list" allowBlank="1" showInputMessage="1" showErrorMessage="1" sqref="C5" xr:uid="{29C1489F-FF32-43B6-A6D9-2BCD2FBB600A}">
      <formula1>$H$9:$H$20</formula1>
    </dataValidation>
  </dataValidations>
  <hyperlinks>
    <hyperlink ref="B17" r:id="rId1" xr:uid="{5B22F242-3ECB-4F3A-8631-997D9506E099}"/>
    <hyperlink ref="B20" r:id="rId2" xr:uid="{AACDC954-73F7-49E1-8202-052D2D7A00D6}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EEEC7-6CE1-4659-9DC1-01BFD5282CA4}">
  <sheetPr>
    <pageSetUpPr fitToPage="1"/>
  </sheetPr>
  <dimension ref="B1:G44"/>
  <sheetViews>
    <sheetView zoomScale="110" zoomScaleNormal="110" workbookViewId="0">
      <selection activeCell="B2" sqref="B2:G2"/>
    </sheetView>
  </sheetViews>
  <sheetFormatPr defaultRowHeight="15" x14ac:dyDescent="0.25"/>
  <cols>
    <col min="1" max="1" width="1.85546875" customWidth="1"/>
    <col min="2" max="2" width="53.42578125" customWidth="1"/>
    <col min="3" max="3" width="14.85546875" customWidth="1"/>
    <col min="4" max="4" width="11.140625" bestFit="1" customWidth="1"/>
    <col min="5" max="5" width="10.5703125" customWidth="1"/>
    <col min="6" max="6" width="15.5703125" customWidth="1"/>
    <col min="7" max="7" width="28.5703125" customWidth="1"/>
    <col min="8" max="8" width="5.5703125" customWidth="1"/>
    <col min="9" max="9" width="4.5703125" customWidth="1"/>
  </cols>
  <sheetData>
    <row r="1" spans="2:7" ht="11.45" customHeight="1" thickBot="1" x14ac:dyDescent="0.3"/>
    <row r="2" spans="2:7" ht="18" customHeight="1" x14ac:dyDescent="0.25">
      <c r="B2" s="147" t="s">
        <v>134</v>
      </c>
      <c r="C2" s="148"/>
      <c r="D2" s="148"/>
      <c r="E2" s="148"/>
      <c r="F2" s="148"/>
      <c r="G2" s="149"/>
    </row>
    <row r="3" spans="2:7" ht="18" customHeight="1" x14ac:dyDescent="0.25">
      <c r="B3" s="144" t="s">
        <v>73</v>
      </c>
      <c r="C3" s="145"/>
      <c r="D3" s="145"/>
      <c r="E3" s="145"/>
      <c r="F3" s="145"/>
      <c r="G3" s="146"/>
    </row>
    <row r="4" spans="2:7" ht="30" customHeight="1" thickBot="1" x14ac:dyDescent="0.3">
      <c r="B4" s="150" t="s">
        <v>126</v>
      </c>
      <c r="C4" s="151"/>
      <c r="D4" s="151"/>
      <c r="E4" s="151"/>
      <c r="F4" s="151"/>
      <c r="G4" s="152"/>
    </row>
    <row r="5" spans="2:7" ht="14.1" customHeight="1" x14ac:dyDescent="0.25">
      <c r="B5" s="94" t="s">
        <v>35</v>
      </c>
      <c r="C5" s="95" t="s">
        <v>1</v>
      </c>
      <c r="D5" s="95" t="s">
        <v>22</v>
      </c>
      <c r="E5" s="95" t="s">
        <v>2</v>
      </c>
      <c r="F5" s="95" t="s">
        <v>3</v>
      </c>
      <c r="G5" s="96" t="s">
        <v>0</v>
      </c>
    </row>
    <row r="6" spans="2:7" ht="3" customHeight="1" x14ac:dyDescent="0.25">
      <c r="B6" s="97"/>
      <c r="C6" s="98"/>
      <c r="D6" s="98"/>
      <c r="E6" s="98"/>
      <c r="F6" s="98"/>
      <c r="G6" s="99"/>
    </row>
    <row r="7" spans="2:7" x14ac:dyDescent="0.25">
      <c r="B7" s="84" t="s">
        <v>47</v>
      </c>
      <c r="C7" s="100" t="s">
        <v>12</v>
      </c>
      <c r="D7" s="86">
        <v>30000</v>
      </c>
      <c r="E7" s="77">
        <v>1</v>
      </c>
      <c r="F7" s="101">
        <f>D7</f>
        <v>30000</v>
      </c>
      <c r="G7" s="102"/>
    </row>
    <row r="8" spans="2:7" x14ac:dyDescent="0.25">
      <c r="B8" s="84" t="s">
        <v>48</v>
      </c>
      <c r="C8" s="100" t="s">
        <v>12</v>
      </c>
      <c r="D8" s="86">
        <v>20000</v>
      </c>
      <c r="E8" s="77">
        <v>1</v>
      </c>
      <c r="F8" s="101">
        <f>D8</f>
        <v>20000</v>
      </c>
      <c r="G8" s="102"/>
    </row>
    <row r="9" spans="2:7" x14ac:dyDescent="0.25">
      <c r="B9" s="85" t="s">
        <v>28</v>
      </c>
      <c r="C9" s="100" t="s">
        <v>13</v>
      </c>
      <c r="D9" s="87">
        <v>45</v>
      </c>
      <c r="E9" s="78">
        <v>20000</v>
      </c>
      <c r="F9" s="101">
        <f>D9*E9</f>
        <v>900000</v>
      </c>
      <c r="G9" s="102"/>
    </row>
    <row r="10" spans="2:7" x14ac:dyDescent="0.25">
      <c r="B10" s="85" t="s">
        <v>49</v>
      </c>
      <c r="C10" s="100" t="s">
        <v>13</v>
      </c>
      <c r="D10" s="87">
        <v>30</v>
      </c>
      <c r="E10" s="78">
        <v>5000</v>
      </c>
      <c r="F10" s="101">
        <f>D10*E10</f>
        <v>150000</v>
      </c>
      <c r="G10" s="102"/>
    </row>
    <row r="11" spans="2:7" x14ac:dyDescent="0.25">
      <c r="B11" s="85" t="s">
        <v>55</v>
      </c>
      <c r="C11" s="100" t="s">
        <v>13</v>
      </c>
      <c r="D11" s="87">
        <v>60</v>
      </c>
      <c r="E11" s="78">
        <v>8000</v>
      </c>
      <c r="F11" s="101">
        <f t="shared" ref="F11:F16" si="0">D11*E11</f>
        <v>480000</v>
      </c>
      <c r="G11" s="102" t="s">
        <v>81</v>
      </c>
    </row>
    <row r="12" spans="2:7" x14ac:dyDescent="0.25">
      <c r="B12" s="85" t="s">
        <v>54</v>
      </c>
      <c r="C12" s="100" t="s">
        <v>16</v>
      </c>
      <c r="D12" s="87">
        <v>120000</v>
      </c>
      <c r="E12" s="79">
        <v>1.1000000000000001</v>
      </c>
      <c r="F12" s="101">
        <f t="shared" si="0"/>
        <v>132000</v>
      </c>
      <c r="G12" s="102"/>
    </row>
    <row r="13" spans="2:7" x14ac:dyDescent="0.25">
      <c r="B13" s="85" t="s">
        <v>56</v>
      </c>
      <c r="C13" s="100" t="s">
        <v>12</v>
      </c>
      <c r="D13" s="87">
        <v>150000</v>
      </c>
      <c r="E13" s="79">
        <v>1</v>
      </c>
      <c r="F13" s="101">
        <f t="shared" si="0"/>
        <v>150000</v>
      </c>
      <c r="G13" s="102"/>
    </row>
    <row r="14" spans="2:7" x14ac:dyDescent="0.25">
      <c r="B14" s="85" t="s">
        <v>6</v>
      </c>
      <c r="C14" s="100" t="s">
        <v>14</v>
      </c>
      <c r="D14" s="87">
        <v>180</v>
      </c>
      <c r="E14" s="78">
        <v>4000</v>
      </c>
      <c r="F14" s="101">
        <f t="shared" si="0"/>
        <v>720000</v>
      </c>
      <c r="G14" s="102" t="s">
        <v>82</v>
      </c>
    </row>
    <row r="15" spans="2:7" x14ac:dyDescent="0.25">
      <c r="B15" s="85" t="s">
        <v>53</v>
      </c>
      <c r="C15" s="100" t="s">
        <v>12</v>
      </c>
      <c r="D15" s="87">
        <v>200000</v>
      </c>
      <c r="E15" s="78">
        <v>1</v>
      </c>
      <c r="F15" s="101">
        <f>D15*E15</f>
        <v>200000</v>
      </c>
      <c r="G15" s="102"/>
    </row>
    <row r="16" spans="2:7" x14ac:dyDescent="0.25">
      <c r="B16" s="85" t="s">
        <v>21</v>
      </c>
      <c r="C16" s="100" t="s">
        <v>17</v>
      </c>
      <c r="D16" s="87">
        <v>100</v>
      </c>
      <c r="E16" s="78">
        <v>1000</v>
      </c>
      <c r="F16" s="101">
        <f t="shared" si="0"/>
        <v>100000</v>
      </c>
      <c r="G16" s="102" t="s">
        <v>50</v>
      </c>
    </row>
    <row r="17" spans="2:7" ht="30" x14ac:dyDescent="0.25">
      <c r="B17" s="85" t="s">
        <v>51</v>
      </c>
      <c r="C17" s="100" t="s">
        <v>12</v>
      </c>
      <c r="D17" s="87">
        <v>300000</v>
      </c>
      <c r="E17" s="78">
        <v>1</v>
      </c>
      <c r="F17" s="101">
        <f>D17</f>
        <v>300000</v>
      </c>
      <c r="G17" s="102" t="s">
        <v>52</v>
      </c>
    </row>
    <row r="18" spans="2:7" x14ac:dyDescent="0.25">
      <c r="B18" s="85" t="s">
        <v>7</v>
      </c>
      <c r="C18" s="100" t="s">
        <v>15</v>
      </c>
      <c r="D18" s="87">
        <v>35</v>
      </c>
      <c r="E18" s="78">
        <v>1000</v>
      </c>
      <c r="F18" s="101">
        <f>D18*E18</f>
        <v>35000</v>
      </c>
      <c r="G18" s="102"/>
    </row>
    <row r="19" spans="2:7" x14ac:dyDescent="0.25">
      <c r="B19" s="85" t="s">
        <v>57</v>
      </c>
      <c r="C19" s="100" t="s">
        <v>36</v>
      </c>
      <c r="D19" s="87">
        <v>3000</v>
      </c>
      <c r="E19" s="78">
        <v>20</v>
      </c>
      <c r="F19" s="101">
        <f>D19*E19</f>
        <v>60000</v>
      </c>
      <c r="G19" s="102"/>
    </row>
    <row r="20" spans="2:7" x14ac:dyDescent="0.25">
      <c r="B20" s="85" t="s">
        <v>23</v>
      </c>
      <c r="C20" s="100" t="s">
        <v>12</v>
      </c>
      <c r="D20" s="87">
        <v>60000</v>
      </c>
      <c r="E20" s="78">
        <v>1</v>
      </c>
      <c r="F20" s="101">
        <f>D20</f>
        <v>60000</v>
      </c>
      <c r="G20" s="102"/>
    </row>
    <row r="21" spans="2:7" ht="30" x14ac:dyDescent="0.25">
      <c r="B21" s="85" t="s">
        <v>24</v>
      </c>
      <c r="C21" s="100" t="s">
        <v>12</v>
      </c>
      <c r="D21" s="87">
        <v>40000</v>
      </c>
      <c r="E21" s="80">
        <v>1</v>
      </c>
      <c r="F21" s="101">
        <f>D21</f>
        <v>40000</v>
      </c>
      <c r="G21" s="102" t="s">
        <v>127</v>
      </c>
    </row>
    <row r="22" spans="2:7" x14ac:dyDescent="0.25">
      <c r="B22" s="85" t="s">
        <v>19</v>
      </c>
      <c r="C22" s="100" t="s">
        <v>12</v>
      </c>
      <c r="D22" s="87">
        <v>15000</v>
      </c>
      <c r="E22" s="80">
        <v>1</v>
      </c>
      <c r="F22" s="101">
        <f>D22</f>
        <v>15000</v>
      </c>
      <c r="G22" s="102" t="s">
        <v>58</v>
      </c>
    </row>
    <row r="23" spans="2:7" ht="3" customHeight="1" thickBot="1" x14ac:dyDescent="0.3">
      <c r="B23" s="69"/>
      <c r="C23" s="34"/>
      <c r="D23" s="35"/>
      <c r="E23" s="36"/>
      <c r="F23" s="37"/>
      <c r="G23" s="70"/>
    </row>
    <row r="24" spans="2:7" ht="14.1" customHeight="1" thickBot="1" x14ac:dyDescent="0.3">
      <c r="B24" s="153" t="s">
        <v>11</v>
      </c>
      <c r="C24" s="154"/>
      <c r="D24" s="154"/>
      <c r="E24" s="155"/>
      <c r="F24" s="15">
        <f>SUM(F6:F23)</f>
        <v>3392000</v>
      </c>
      <c r="G24" s="71"/>
    </row>
    <row r="25" spans="2:7" ht="14.1" customHeight="1" x14ac:dyDescent="0.25">
      <c r="B25" s="72"/>
      <c r="C25" s="16"/>
      <c r="D25" s="156" t="s">
        <v>26</v>
      </c>
      <c r="E25" s="157"/>
      <c r="F25" s="17"/>
      <c r="G25" s="73"/>
    </row>
    <row r="26" spans="2:7" ht="3" customHeight="1" x14ac:dyDescent="0.25">
      <c r="B26" s="74"/>
      <c r="C26" s="64"/>
      <c r="D26" s="48"/>
      <c r="E26" s="49"/>
      <c r="F26" s="66"/>
      <c r="G26" s="2"/>
    </row>
    <row r="27" spans="2:7" ht="14.1" customHeight="1" x14ac:dyDescent="0.25">
      <c r="B27" s="68" t="s">
        <v>4</v>
      </c>
      <c r="C27" s="65" t="s">
        <v>12</v>
      </c>
      <c r="D27" s="130">
        <v>0.1</v>
      </c>
      <c r="E27" s="131"/>
      <c r="F27" s="66">
        <f t="shared" ref="F27:F32" si="1">CEILING(D27*F$24,1000)</f>
        <v>340000</v>
      </c>
      <c r="G27" s="5"/>
    </row>
    <row r="28" spans="2:7" ht="14.1" customHeight="1" x14ac:dyDescent="0.25">
      <c r="B28" s="68" t="s">
        <v>27</v>
      </c>
      <c r="C28" s="65" t="s">
        <v>12</v>
      </c>
      <c r="D28" s="130">
        <v>0.02</v>
      </c>
      <c r="E28" s="131"/>
      <c r="F28" s="66">
        <f t="shared" si="1"/>
        <v>68000</v>
      </c>
      <c r="G28" s="5"/>
    </row>
    <row r="29" spans="2:7" ht="14.1" customHeight="1" x14ac:dyDescent="0.25">
      <c r="B29" s="68" t="s">
        <v>25</v>
      </c>
      <c r="C29" s="65" t="s">
        <v>12</v>
      </c>
      <c r="D29" s="130">
        <v>0.05</v>
      </c>
      <c r="E29" s="131"/>
      <c r="F29" s="66">
        <f t="shared" si="1"/>
        <v>170000</v>
      </c>
      <c r="G29" s="5"/>
    </row>
    <row r="30" spans="2:7" ht="14.1" customHeight="1" x14ac:dyDescent="0.25">
      <c r="B30" s="68" t="s">
        <v>30</v>
      </c>
      <c r="C30" s="65" t="s">
        <v>12</v>
      </c>
      <c r="D30" s="130">
        <v>0.03</v>
      </c>
      <c r="E30" s="131"/>
      <c r="F30" s="66">
        <f t="shared" si="1"/>
        <v>102000</v>
      </c>
      <c r="G30" s="5"/>
    </row>
    <row r="31" spans="2:7" ht="14.1" customHeight="1" x14ac:dyDescent="0.25">
      <c r="B31" s="68" t="s">
        <v>5</v>
      </c>
      <c r="C31" s="65" t="s">
        <v>12</v>
      </c>
      <c r="D31" s="130">
        <v>0.02</v>
      </c>
      <c r="E31" s="131"/>
      <c r="F31" s="66">
        <f t="shared" si="1"/>
        <v>68000</v>
      </c>
      <c r="G31" s="5"/>
    </row>
    <row r="32" spans="2:7" ht="14.1" customHeight="1" x14ac:dyDescent="0.25">
      <c r="B32" s="68" t="s">
        <v>9</v>
      </c>
      <c r="C32" s="65" t="s">
        <v>12</v>
      </c>
      <c r="D32" s="130">
        <v>0.08</v>
      </c>
      <c r="E32" s="131"/>
      <c r="F32" s="66">
        <f t="shared" si="1"/>
        <v>272000</v>
      </c>
      <c r="G32" s="5"/>
    </row>
    <row r="33" spans="2:7" ht="3" customHeight="1" thickBot="1" x14ac:dyDescent="0.3">
      <c r="B33" s="69"/>
      <c r="C33" s="34"/>
      <c r="D33" s="41"/>
      <c r="E33" s="42"/>
      <c r="F33" s="43"/>
      <c r="G33" s="75"/>
    </row>
    <row r="34" spans="2:7" ht="14.1" customHeight="1" thickBot="1" x14ac:dyDescent="0.3">
      <c r="B34" s="153" t="s">
        <v>11</v>
      </c>
      <c r="C34" s="154"/>
      <c r="D34" s="154"/>
      <c r="E34" s="155"/>
      <c r="F34" s="15">
        <f>SUM(F24:F33)</f>
        <v>4412000</v>
      </c>
      <c r="G34" s="71"/>
    </row>
    <row r="35" spans="2:7" ht="51" customHeight="1" x14ac:dyDescent="0.25">
      <c r="B35" s="63" t="s">
        <v>34</v>
      </c>
      <c r="C35" s="117">
        <v>0.3</v>
      </c>
      <c r="D35" s="132">
        <f>CEILING(F34*C35,1000)</f>
        <v>1324000</v>
      </c>
      <c r="E35" s="133"/>
      <c r="F35" s="134"/>
      <c r="G35" s="116" t="s">
        <v>104</v>
      </c>
    </row>
    <row r="36" spans="2:7" ht="14.1" customHeight="1" x14ac:dyDescent="0.25">
      <c r="B36" s="63" t="s">
        <v>131</v>
      </c>
      <c r="C36" s="83">
        <v>0.05</v>
      </c>
      <c r="D36" s="132">
        <f ca="1">(F34+D35)*((1+C36)^('READ FIRST'!$C$5-YEAR(TODAY()))-1)</f>
        <v>1236143.8500000001</v>
      </c>
      <c r="E36" s="133"/>
      <c r="F36" s="134"/>
      <c r="G36" s="91"/>
    </row>
    <row r="37" spans="2:7" ht="16.350000000000001" customHeight="1" thickBot="1" x14ac:dyDescent="0.3">
      <c r="B37" s="76" t="s">
        <v>78</v>
      </c>
      <c r="C37" s="119">
        <f>'READ FIRST'!$C$5</f>
        <v>2029</v>
      </c>
      <c r="D37" s="141">
        <f ca="1">F34+D35+D36</f>
        <v>6972143.8499999996</v>
      </c>
      <c r="E37" s="142"/>
      <c r="F37" s="143"/>
      <c r="G37" s="70"/>
    </row>
    <row r="38" spans="2:7" ht="12" customHeight="1" thickBot="1" x14ac:dyDescent="0.3">
      <c r="B38" s="10"/>
      <c r="C38" s="6"/>
      <c r="D38" s="7"/>
      <c r="E38" s="6"/>
      <c r="F38" s="7"/>
      <c r="G38" s="6"/>
    </row>
    <row r="39" spans="2:7" ht="16.350000000000001" customHeight="1" thickTop="1" x14ac:dyDescent="0.25">
      <c r="B39" s="27" t="s">
        <v>100</v>
      </c>
      <c r="C39" s="28">
        <v>0.12</v>
      </c>
      <c r="D39" s="137">
        <f ca="1">C39*$D$37</f>
        <v>836657.26199999987</v>
      </c>
      <c r="E39" s="137"/>
      <c r="F39" s="137"/>
      <c r="G39" s="29"/>
    </row>
    <row r="40" spans="2:7" ht="16.350000000000001" customHeight="1" thickBot="1" x14ac:dyDescent="0.3">
      <c r="B40" s="30" t="s">
        <v>101</v>
      </c>
      <c r="C40" s="31">
        <v>0.12</v>
      </c>
      <c r="D40" s="138">
        <f ca="1">C40*$D$37</f>
        <v>836657.26199999987</v>
      </c>
      <c r="E40" s="138"/>
      <c r="F40" s="138"/>
      <c r="G40" s="32"/>
    </row>
    <row r="41" spans="2:7" ht="12" customHeight="1" thickTop="1" thickBot="1" x14ac:dyDescent="0.3">
      <c r="B41" s="14"/>
      <c r="C41" s="6"/>
      <c r="D41" s="7"/>
      <c r="E41" s="6"/>
      <c r="F41" s="7"/>
      <c r="G41" s="6"/>
    </row>
    <row r="42" spans="2:7" ht="19.5" thickTop="1" x14ac:dyDescent="0.25">
      <c r="B42" s="53" t="s">
        <v>76</v>
      </c>
      <c r="C42" s="139">
        <f ca="1">SUM(D37,D39,D40)</f>
        <v>8645458.3739999998</v>
      </c>
      <c r="D42" s="140"/>
      <c r="E42" s="140"/>
      <c r="F42" s="140"/>
      <c r="G42" s="29"/>
    </row>
    <row r="43" spans="2:7" ht="19.5" thickBot="1" x14ac:dyDescent="0.3">
      <c r="B43" s="51" t="s">
        <v>74</v>
      </c>
      <c r="C43" s="135">
        <f ca="1">CEILING(C42,10000)</f>
        <v>8650000</v>
      </c>
      <c r="D43" s="136"/>
      <c r="E43" s="136"/>
      <c r="F43" s="136"/>
      <c r="G43" s="52"/>
    </row>
    <row r="44" spans="2:7" ht="15.75" thickTop="1" x14ac:dyDescent="0.25"/>
  </sheetData>
  <mergeCells count="19">
    <mergeCell ref="B3:G3"/>
    <mergeCell ref="B2:G2"/>
    <mergeCell ref="B4:G4"/>
    <mergeCell ref="D35:F35"/>
    <mergeCell ref="D31:E31"/>
    <mergeCell ref="B24:E24"/>
    <mergeCell ref="D32:E32"/>
    <mergeCell ref="B34:E34"/>
    <mergeCell ref="D25:E25"/>
    <mergeCell ref="D27:E27"/>
    <mergeCell ref="D28:E28"/>
    <mergeCell ref="D36:F36"/>
    <mergeCell ref="C43:F43"/>
    <mergeCell ref="D39:F39"/>
    <mergeCell ref="D40:F40"/>
    <mergeCell ref="C42:F42"/>
    <mergeCell ref="D37:F37"/>
    <mergeCell ref="D29:E29"/>
    <mergeCell ref="D30:E30"/>
  </mergeCells>
  <pageMargins left="0.25" right="0.25" top="0.75" bottom="0.75" header="0.3" footer="0.3"/>
  <pageSetup scale="77" orientation="portrait" r:id="rId1"/>
  <ignoredErrors>
    <ignoredError sqref="F17:F18 F1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AE8A-D91A-457C-B746-48ECCDC1677B}">
  <sheetPr>
    <pageSetUpPr fitToPage="1"/>
  </sheetPr>
  <dimension ref="B1:G36"/>
  <sheetViews>
    <sheetView zoomScale="115" zoomScaleNormal="115" workbookViewId="0">
      <selection activeCell="B3" sqref="B3:G3"/>
    </sheetView>
  </sheetViews>
  <sheetFormatPr defaultRowHeight="15" x14ac:dyDescent="0.25"/>
  <cols>
    <col min="1" max="1" width="1.85546875" customWidth="1"/>
    <col min="2" max="2" width="50.42578125" customWidth="1"/>
    <col min="3" max="5" width="10.5703125" customWidth="1"/>
    <col min="6" max="6" width="15.5703125" customWidth="1"/>
    <col min="7" max="7" width="28.5703125" customWidth="1"/>
    <col min="8" max="8" width="5.5703125" customWidth="1"/>
    <col min="9" max="9" width="4.5703125" customWidth="1"/>
  </cols>
  <sheetData>
    <row r="1" spans="2:7" ht="11.45" customHeight="1" thickBot="1" x14ac:dyDescent="0.3"/>
    <row r="2" spans="2:7" ht="18" customHeight="1" thickTop="1" x14ac:dyDescent="0.25">
      <c r="B2" s="163" t="s">
        <v>135</v>
      </c>
      <c r="C2" s="164"/>
      <c r="D2" s="164"/>
      <c r="E2" s="164"/>
      <c r="F2" s="164"/>
      <c r="G2" s="165"/>
    </row>
    <row r="3" spans="2:7" ht="18" customHeight="1" x14ac:dyDescent="0.25">
      <c r="B3" s="160" t="s">
        <v>75</v>
      </c>
      <c r="C3" s="145"/>
      <c r="D3" s="145"/>
      <c r="E3" s="145"/>
      <c r="F3" s="145"/>
      <c r="G3" s="161"/>
    </row>
    <row r="4" spans="2:7" ht="18" customHeight="1" thickBot="1" x14ac:dyDescent="0.3">
      <c r="B4" s="166" t="s">
        <v>116</v>
      </c>
      <c r="C4" s="167"/>
      <c r="D4" s="167"/>
      <c r="E4" s="167"/>
      <c r="F4" s="167"/>
      <c r="G4" s="168"/>
    </row>
    <row r="5" spans="2:7" ht="14.1" customHeight="1" x14ac:dyDescent="0.25">
      <c r="B5" s="19" t="s">
        <v>35</v>
      </c>
      <c r="C5" s="11" t="s">
        <v>1</v>
      </c>
      <c r="D5" s="11" t="s">
        <v>22</v>
      </c>
      <c r="E5" s="11" t="s">
        <v>2</v>
      </c>
      <c r="F5" s="11" t="s">
        <v>3</v>
      </c>
      <c r="G5" s="20" t="s">
        <v>0</v>
      </c>
    </row>
    <row r="6" spans="2:7" ht="3" customHeight="1" x14ac:dyDescent="0.25">
      <c r="B6" s="39"/>
      <c r="C6" s="3"/>
      <c r="D6" s="3"/>
      <c r="E6" s="3"/>
      <c r="F6" s="3"/>
      <c r="G6" s="40"/>
    </row>
    <row r="7" spans="2:7" ht="14.1" customHeight="1" x14ac:dyDescent="0.25">
      <c r="B7" s="88" t="s">
        <v>28</v>
      </c>
      <c r="C7" s="8" t="s">
        <v>13</v>
      </c>
      <c r="D7" s="87">
        <v>40</v>
      </c>
      <c r="E7" s="78">
        <v>5000</v>
      </c>
      <c r="F7" s="9">
        <f t="shared" ref="F7:F12" si="0">D7*E7</f>
        <v>200000</v>
      </c>
      <c r="G7" s="22"/>
    </row>
    <row r="8" spans="2:7" ht="14.1" customHeight="1" x14ac:dyDescent="0.25">
      <c r="B8" s="88" t="s">
        <v>59</v>
      </c>
      <c r="C8" s="8" t="s">
        <v>13</v>
      </c>
      <c r="D8" s="87">
        <v>50</v>
      </c>
      <c r="E8" s="78">
        <f>ROUNDUP(10*5280*4*0.5/27*2,-3)</f>
        <v>8000</v>
      </c>
      <c r="F8" s="9">
        <f t="shared" si="0"/>
        <v>400000</v>
      </c>
      <c r="G8" s="123" t="s">
        <v>115</v>
      </c>
    </row>
    <row r="9" spans="2:7" ht="14.1" customHeight="1" x14ac:dyDescent="0.25">
      <c r="B9" s="88" t="s">
        <v>18</v>
      </c>
      <c r="C9" s="8" t="s">
        <v>20</v>
      </c>
      <c r="D9" s="87">
        <v>8</v>
      </c>
      <c r="E9" s="78">
        <f>ROUNDUP(10*5280*24/9,-3)</f>
        <v>141000</v>
      </c>
      <c r="F9" s="9">
        <f t="shared" si="0"/>
        <v>1128000</v>
      </c>
      <c r="G9" s="22"/>
    </row>
    <row r="10" spans="2:7" ht="14.1" customHeight="1" x14ac:dyDescent="0.25">
      <c r="B10" s="88" t="s">
        <v>6</v>
      </c>
      <c r="C10" s="8" t="s">
        <v>14</v>
      </c>
      <c r="D10" s="87">
        <v>160</v>
      </c>
      <c r="E10" s="78">
        <f>ROUNDUP(10*5280*28*3/12*145.2/2000,-3)</f>
        <v>27000</v>
      </c>
      <c r="F10" s="9">
        <f t="shared" si="0"/>
        <v>4320000</v>
      </c>
      <c r="G10" s="123" t="s">
        <v>114</v>
      </c>
    </row>
    <row r="11" spans="2:7" ht="14.1" customHeight="1" x14ac:dyDescent="0.25">
      <c r="B11" s="88" t="s">
        <v>51</v>
      </c>
      <c r="C11" s="8" t="s">
        <v>12</v>
      </c>
      <c r="D11" s="87">
        <v>200000</v>
      </c>
      <c r="E11" s="78">
        <v>1</v>
      </c>
      <c r="F11" s="93">
        <f t="shared" si="0"/>
        <v>200000</v>
      </c>
      <c r="G11" s="22"/>
    </row>
    <row r="12" spans="2:7" ht="14.1" customHeight="1" x14ac:dyDescent="0.25">
      <c r="B12" s="88" t="s">
        <v>7</v>
      </c>
      <c r="C12" s="8" t="s">
        <v>15</v>
      </c>
      <c r="D12" s="87">
        <v>35</v>
      </c>
      <c r="E12" s="78">
        <v>4000</v>
      </c>
      <c r="F12" s="93">
        <f t="shared" si="0"/>
        <v>140000</v>
      </c>
      <c r="G12" s="22"/>
    </row>
    <row r="13" spans="2:7" ht="14.1" customHeight="1" x14ac:dyDescent="0.25">
      <c r="B13" s="88" t="s">
        <v>119</v>
      </c>
      <c r="C13" s="8" t="s">
        <v>12</v>
      </c>
      <c r="D13" s="87">
        <v>50000</v>
      </c>
      <c r="E13" s="78">
        <v>1</v>
      </c>
      <c r="F13" s="9">
        <f>D13</f>
        <v>50000</v>
      </c>
      <c r="G13" s="22"/>
    </row>
    <row r="14" spans="2:7" ht="14.1" customHeight="1" x14ac:dyDescent="0.25">
      <c r="B14" s="88" t="s">
        <v>23</v>
      </c>
      <c r="C14" s="8" t="s">
        <v>12</v>
      </c>
      <c r="D14" s="87">
        <v>75000</v>
      </c>
      <c r="E14" s="78">
        <v>1</v>
      </c>
      <c r="F14" s="9">
        <f>D14</f>
        <v>75000</v>
      </c>
      <c r="G14" s="22"/>
    </row>
    <row r="15" spans="2:7" ht="3" customHeight="1" thickBot="1" x14ac:dyDescent="0.3">
      <c r="B15" s="54"/>
      <c r="C15" s="6"/>
      <c r="D15" s="7"/>
      <c r="E15" s="55"/>
      <c r="F15" s="4"/>
      <c r="G15" s="56"/>
    </row>
    <row r="16" spans="2:7" ht="14.1" customHeight="1" thickBot="1" x14ac:dyDescent="0.3">
      <c r="B16" s="162" t="s">
        <v>11</v>
      </c>
      <c r="C16" s="154"/>
      <c r="D16" s="154"/>
      <c r="E16" s="155"/>
      <c r="F16" s="15">
        <f>SUM(F6:F14)</f>
        <v>6513000</v>
      </c>
      <c r="G16" s="23"/>
    </row>
    <row r="17" spans="2:7" ht="14.1" customHeight="1" x14ac:dyDescent="0.25">
      <c r="B17" s="24"/>
      <c r="C17" s="16"/>
      <c r="D17" s="156" t="s">
        <v>26</v>
      </c>
      <c r="E17" s="157"/>
      <c r="F17" s="17"/>
      <c r="G17" s="25"/>
    </row>
    <row r="18" spans="2:7" ht="3" customHeight="1" x14ac:dyDescent="0.25">
      <c r="B18" s="47"/>
      <c r="C18" s="45"/>
      <c r="D18" s="48"/>
      <c r="E18" s="49"/>
      <c r="F18" s="46"/>
      <c r="G18" s="50"/>
    </row>
    <row r="19" spans="2:7" ht="14.1" customHeight="1" x14ac:dyDescent="0.25">
      <c r="B19" s="21" t="s">
        <v>4</v>
      </c>
      <c r="C19" s="8" t="s">
        <v>12</v>
      </c>
      <c r="D19" s="130">
        <v>0.1</v>
      </c>
      <c r="E19" s="131"/>
      <c r="F19" s="9">
        <f t="shared" ref="F19:F24" si="1">CEILING(D19*F$16,1000)</f>
        <v>652000</v>
      </c>
      <c r="G19" s="22"/>
    </row>
    <row r="20" spans="2:7" ht="14.1" customHeight="1" x14ac:dyDescent="0.25">
      <c r="B20" s="21" t="s">
        <v>27</v>
      </c>
      <c r="C20" s="8" t="s">
        <v>12</v>
      </c>
      <c r="D20" s="130">
        <v>0.02</v>
      </c>
      <c r="E20" s="131"/>
      <c r="F20" s="13">
        <f t="shared" si="1"/>
        <v>131000</v>
      </c>
      <c r="G20" s="22"/>
    </row>
    <row r="21" spans="2:7" ht="14.1" customHeight="1" x14ac:dyDescent="0.25">
      <c r="B21" s="21" t="s">
        <v>25</v>
      </c>
      <c r="C21" s="8" t="s">
        <v>12</v>
      </c>
      <c r="D21" s="130">
        <v>0.05</v>
      </c>
      <c r="E21" s="131"/>
      <c r="F21" s="13">
        <f t="shared" si="1"/>
        <v>326000</v>
      </c>
      <c r="G21" s="22"/>
    </row>
    <row r="22" spans="2:7" ht="14.1" customHeight="1" x14ac:dyDescent="0.25">
      <c r="B22" s="21" t="s">
        <v>30</v>
      </c>
      <c r="C22" s="8" t="s">
        <v>12</v>
      </c>
      <c r="D22" s="130">
        <v>0.05</v>
      </c>
      <c r="E22" s="131"/>
      <c r="F22" s="13">
        <f t="shared" si="1"/>
        <v>326000</v>
      </c>
      <c r="G22" s="22"/>
    </row>
    <row r="23" spans="2:7" ht="14.1" customHeight="1" x14ac:dyDescent="0.25">
      <c r="B23" s="21" t="s">
        <v>5</v>
      </c>
      <c r="C23" s="8" t="s">
        <v>12</v>
      </c>
      <c r="D23" s="130">
        <v>0.05</v>
      </c>
      <c r="E23" s="131"/>
      <c r="F23" s="13">
        <f t="shared" si="1"/>
        <v>326000</v>
      </c>
      <c r="G23" s="22"/>
    </row>
    <row r="24" spans="2:7" ht="14.1" customHeight="1" x14ac:dyDescent="0.25">
      <c r="B24" s="21" t="s">
        <v>9</v>
      </c>
      <c r="C24" s="8" t="s">
        <v>12</v>
      </c>
      <c r="D24" s="130">
        <v>0.08</v>
      </c>
      <c r="E24" s="131"/>
      <c r="F24" s="13">
        <f t="shared" si="1"/>
        <v>522000</v>
      </c>
      <c r="G24" s="22"/>
    </row>
    <row r="25" spans="2:7" ht="3" customHeight="1" thickBot="1" x14ac:dyDescent="0.3">
      <c r="B25" s="33"/>
      <c r="C25" s="34"/>
      <c r="D25" s="41"/>
      <c r="E25" s="42"/>
      <c r="F25" s="43"/>
      <c r="G25" s="44"/>
    </row>
    <row r="26" spans="2:7" ht="14.1" customHeight="1" thickBot="1" x14ac:dyDescent="0.3">
      <c r="B26" s="162" t="s">
        <v>11</v>
      </c>
      <c r="C26" s="154"/>
      <c r="D26" s="154"/>
      <c r="E26" s="155"/>
      <c r="F26" s="18">
        <f>SUM(F16:F25)</f>
        <v>8796000</v>
      </c>
      <c r="G26" s="23"/>
    </row>
    <row r="27" spans="2:7" ht="53.25" customHeight="1" x14ac:dyDescent="0.25">
      <c r="B27" s="26" t="s">
        <v>34</v>
      </c>
      <c r="C27" s="67">
        <v>0.3</v>
      </c>
      <c r="D27" s="132">
        <f>CEILING(F26*C27,1000)</f>
        <v>2639000</v>
      </c>
      <c r="E27" s="133"/>
      <c r="F27" s="134"/>
      <c r="G27" s="116" t="s">
        <v>104</v>
      </c>
    </row>
    <row r="28" spans="2:7" ht="14.1" customHeight="1" x14ac:dyDescent="0.25">
      <c r="B28" s="109" t="s">
        <v>131</v>
      </c>
      <c r="C28" s="83">
        <v>0.05</v>
      </c>
      <c r="D28" s="132">
        <f ca="1">(F26+D27)*((1+C28)^('READ FIRST'!$C$5-YEAR(TODAY()))-1)</f>
        <v>2464313.96875</v>
      </c>
      <c r="E28" s="133"/>
      <c r="F28" s="134"/>
      <c r="G28" s="91"/>
    </row>
    <row r="29" spans="2:7" ht="16.350000000000001" customHeight="1" thickBot="1" x14ac:dyDescent="0.3">
      <c r="B29" s="76" t="s">
        <v>78</v>
      </c>
      <c r="C29" s="119">
        <f>'READ FIRST'!$C$5</f>
        <v>2029</v>
      </c>
      <c r="D29" s="141">
        <f ca="1">F26+D27+D28</f>
        <v>13899313.96875</v>
      </c>
      <c r="E29" s="142"/>
      <c r="F29" s="143"/>
      <c r="G29" s="70"/>
    </row>
    <row r="30" spans="2:7" ht="12" customHeight="1" thickBot="1" x14ac:dyDescent="0.3">
      <c r="B30" s="10"/>
      <c r="C30" s="6"/>
      <c r="D30" s="7"/>
      <c r="E30" s="6"/>
      <c r="F30" s="7"/>
      <c r="G30" s="6"/>
    </row>
    <row r="31" spans="2:7" ht="16.5" thickTop="1" x14ac:dyDescent="0.25">
      <c r="B31" s="27" t="s">
        <v>32</v>
      </c>
      <c r="C31" s="28">
        <v>0.12</v>
      </c>
      <c r="D31" s="158">
        <f ca="1">C31*$D$29</f>
        <v>1667917.67625</v>
      </c>
      <c r="E31" s="137"/>
      <c r="F31" s="137"/>
      <c r="G31" s="62"/>
    </row>
    <row r="32" spans="2:7" ht="16.350000000000001" customHeight="1" thickBot="1" x14ac:dyDescent="0.3">
      <c r="B32" s="30" t="s">
        <v>33</v>
      </c>
      <c r="C32" s="31">
        <v>0.12</v>
      </c>
      <c r="D32" s="159">
        <f ca="1">C32*$D$29</f>
        <v>1667917.67625</v>
      </c>
      <c r="E32" s="138"/>
      <c r="F32" s="138"/>
      <c r="G32" s="32"/>
    </row>
    <row r="33" spans="2:7" ht="12" customHeight="1" thickTop="1" thickBot="1" x14ac:dyDescent="0.3">
      <c r="B33" s="14"/>
      <c r="C33" s="6"/>
      <c r="D33" s="7"/>
      <c r="E33" s="6"/>
      <c r="F33" s="7"/>
      <c r="G33" s="6"/>
    </row>
    <row r="34" spans="2:7" ht="19.5" thickTop="1" x14ac:dyDescent="0.25">
      <c r="B34" s="53" t="s">
        <v>76</v>
      </c>
      <c r="C34" s="139">
        <f ca="1">SUM(D29,D31,D32)</f>
        <v>17235149.321249999</v>
      </c>
      <c r="D34" s="140"/>
      <c r="E34" s="140"/>
      <c r="F34" s="140"/>
      <c r="G34" s="29"/>
    </row>
    <row r="35" spans="2:7" ht="19.5" thickBot="1" x14ac:dyDescent="0.3">
      <c r="B35" s="51" t="s">
        <v>74</v>
      </c>
      <c r="C35" s="135">
        <f ca="1">CEILING(C34,10000)</f>
        <v>17240000</v>
      </c>
      <c r="D35" s="136"/>
      <c r="E35" s="136"/>
      <c r="F35" s="136"/>
      <c r="G35" s="52"/>
    </row>
    <row r="36" spans="2:7" ht="15.75" thickTop="1" x14ac:dyDescent="0.25"/>
  </sheetData>
  <mergeCells count="19">
    <mergeCell ref="B3:G3"/>
    <mergeCell ref="B26:E26"/>
    <mergeCell ref="B2:G2"/>
    <mergeCell ref="B4:G4"/>
    <mergeCell ref="B16:E16"/>
    <mergeCell ref="D17:E17"/>
    <mergeCell ref="D19:E19"/>
    <mergeCell ref="D20:E20"/>
    <mergeCell ref="D21:E21"/>
    <mergeCell ref="D22:E22"/>
    <mergeCell ref="D23:E23"/>
    <mergeCell ref="C35:F35"/>
    <mergeCell ref="D27:F27"/>
    <mergeCell ref="D31:F31"/>
    <mergeCell ref="D32:F32"/>
    <mergeCell ref="C34:F34"/>
    <mergeCell ref="D28:F28"/>
    <mergeCell ref="D29:F29"/>
    <mergeCell ref="D24:E24"/>
  </mergeCells>
  <pageMargins left="0.25" right="0.25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B405A-3E4E-4E31-80E9-62357606EC0D}">
  <sheetPr>
    <pageSetUpPr fitToPage="1"/>
  </sheetPr>
  <dimension ref="B1:G41"/>
  <sheetViews>
    <sheetView zoomScale="120" zoomScaleNormal="120" workbookViewId="0">
      <selection activeCell="K10" sqref="K10"/>
    </sheetView>
  </sheetViews>
  <sheetFormatPr defaultRowHeight="15" x14ac:dyDescent="0.25"/>
  <cols>
    <col min="1" max="1" width="1.85546875" customWidth="1"/>
    <col min="2" max="2" width="51" customWidth="1"/>
    <col min="3" max="5" width="10.5703125" customWidth="1"/>
    <col min="6" max="6" width="15.5703125" customWidth="1"/>
    <col min="7" max="7" width="28.5703125" customWidth="1"/>
    <col min="8" max="8" width="5.5703125" customWidth="1"/>
    <col min="9" max="9" width="4.5703125" customWidth="1"/>
  </cols>
  <sheetData>
    <row r="1" spans="2:7" ht="11.45" customHeight="1" thickBot="1" x14ac:dyDescent="0.3"/>
    <row r="2" spans="2:7" ht="18" customHeight="1" thickTop="1" x14ac:dyDescent="0.25">
      <c r="B2" s="163" t="s">
        <v>136</v>
      </c>
      <c r="C2" s="164"/>
      <c r="D2" s="164"/>
      <c r="E2" s="164"/>
      <c r="F2" s="164"/>
      <c r="G2" s="165"/>
    </row>
    <row r="3" spans="2:7" ht="18" customHeight="1" x14ac:dyDescent="0.25">
      <c r="B3" s="160" t="s">
        <v>77</v>
      </c>
      <c r="C3" s="145"/>
      <c r="D3" s="145"/>
      <c r="E3" s="145"/>
      <c r="F3" s="145"/>
      <c r="G3" s="161"/>
    </row>
    <row r="4" spans="2:7" ht="18" customHeight="1" thickBot="1" x14ac:dyDescent="0.3">
      <c r="B4" s="166" t="s">
        <v>123</v>
      </c>
      <c r="C4" s="167"/>
      <c r="D4" s="167"/>
      <c r="E4" s="167"/>
      <c r="F4" s="167"/>
      <c r="G4" s="168"/>
    </row>
    <row r="5" spans="2:7" ht="14.1" customHeight="1" x14ac:dyDescent="0.25">
      <c r="B5" s="19" t="s">
        <v>35</v>
      </c>
      <c r="C5" s="11" t="s">
        <v>1</v>
      </c>
      <c r="D5" s="11" t="s">
        <v>22</v>
      </c>
      <c r="E5" s="11" t="s">
        <v>2</v>
      </c>
      <c r="F5" s="11" t="s">
        <v>3</v>
      </c>
      <c r="G5" s="20" t="s">
        <v>0</v>
      </c>
    </row>
    <row r="6" spans="2:7" ht="3" customHeight="1" x14ac:dyDescent="0.25">
      <c r="B6" s="39"/>
      <c r="C6" s="3"/>
      <c r="D6" s="3"/>
      <c r="E6" s="3"/>
      <c r="F6" s="3"/>
      <c r="G6" s="40"/>
    </row>
    <row r="7" spans="2:7" x14ac:dyDescent="0.25">
      <c r="B7" s="84" t="s">
        <v>48</v>
      </c>
      <c r="C7" s="100" t="s">
        <v>12</v>
      </c>
      <c r="D7" s="86">
        <v>20000</v>
      </c>
      <c r="E7" s="77">
        <v>1</v>
      </c>
      <c r="F7" s="101">
        <f>D7</f>
        <v>20000</v>
      </c>
      <c r="G7" s="57"/>
    </row>
    <row r="8" spans="2:7" x14ac:dyDescent="0.25">
      <c r="B8" s="88" t="s">
        <v>29</v>
      </c>
      <c r="C8" s="8" t="s">
        <v>13</v>
      </c>
      <c r="D8" s="87">
        <v>50</v>
      </c>
      <c r="E8" s="78">
        <v>4500</v>
      </c>
      <c r="F8" s="9">
        <f t="shared" ref="F8:F13" si="0">D8*E8</f>
        <v>225000</v>
      </c>
      <c r="G8" s="60"/>
    </row>
    <row r="9" spans="2:7" ht="30" x14ac:dyDescent="0.25">
      <c r="B9" s="88" t="s">
        <v>10</v>
      </c>
      <c r="C9" s="8" t="s">
        <v>13</v>
      </c>
      <c r="D9" s="87">
        <v>60</v>
      </c>
      <c r="E9" s="78">
        <v>2200</v>
      </c>
      <c r="F9" s="9">
        <f t="shared" si="0"/>
        <v>132000</v>
      </c>
      <c r="G9" s="60" t="s">
        <v>61</v>
      </c>
    </row>
    <row r="10" spans="2:7" ht="30" x14ac:dyDescent="0.25">
      <c r="B10" s="88" t="s">
        <v>6</v>
      </c>
      <c r="C10" s="8" t="s">
        <v>14</v>
      </c>
      <c r="D10" s="87">
        <v>180</v>
      </c>
      <c r="E10" s="78">
        <v>1130</v>
      </c>
      <c r="F10" s="9">
        <f t="shared" si="0"/>
        <v>203400</v>
      </c>
      <c r="G10" s="60" t="s">
        <v>60</v>
      </c>
    </row>
    <row r="11" spans="2:7" x14ac:dyDescent="0.25">
      <c r="B11" s="88" t="s">
        <v>62</v>
      </c>
      <c r="C11" s="8" t="s">
        <v>15</v>
      </c>
      <c r="D11" s="87">
        <v>40</v>
      </c>
      <c r="E11" s="78">
        <v>1600</v>
      </c>
      <c r="F11" s="9">
        <f t="shared" si="0"/>
        <v>64000</v>
      </c>
      <c r="G11" s="60"/>
    </row>
    <row r="12" spans="2:7" x14ac:dyDescent="0.25">
      <c r="B12" s="88" t="s">
        <v>63</v>
      </c>
      <c r="C12" s="8" t="s">
        <v>64</v>
      </c>
      <c r="D12" s="87">
        <v>4000</v>
      </c>
      <c r="E12" s="78">
        <v>4</v>
      </c>
      <c r="F12" s="9">
        <f t="shared" si="0"/>
        <v>16000</v>
      </c>
      <c r="G12" s="60"/>
    </row>
    <row r="13" spans="2:7" x14ac:dyDescent="0.25">
      <c r="B13" s="88" t="s">
        <v>65</v>
      </c>
      <c r="C13" s="8" t="s">
        <v>15</v>
      </c>
      <c r="D13" s="87">
        <v>200</v>
      </c>
      <c r="E13" s="78">
        <v>500</v>
      </c>
      <c r="F13" s="13">
        <f t="shared" si="0"/>
        <v>100000</v>
      </c>
      <c r="G13" s="60"/>
    </row>
    <row r="14" spans="2:7" ht="30" x14ac:dyDescent="0.25">
      <c r="B14" s="89" t="s">
        <v>120</v>
      </c>
      <c r="C14" s="8" t="s">
        <v>12</v>
      </c>
      <c r="D14" s="87">
        <v>100000</v>
      </c>
      <c r="E14" s="78">
        <v>1</v>
      </c>
      <c r="F14" s="9">
        <f>D14</f>
        <v>100000</v>
      </c>
      <c r="G14" s="60" t="s">
        <v>66</v>
      </c>
    </row>
    <row r="15" spans="2:7" x14ac:dyDescent="0.25">
      <c r="B15" s="88" t="s">
        <v>67</v>
      </c>
      <c r="C15" s="8" t="s">
        <v>12</v>
      </c>
      <c r="D15" s="87">
        <v>25000</v>
      </c>
      <c r="E15" s="78">
        <v>1</v>
      </c>
      <c r="F15" s="9">
        <f>D15</f>
        <v>25000</v>
      </c>
      <c r="G15" s="60" t="s">
        <v>68</v>
      </c>
    </row>
    <row r="16" spans="2:7" x14ac:dyDescent="0.25">
      <c r="B16" s="88" t="s">
        <v>69</v>
      </c>
      <c r="C16" s="8" t="s">
        <v>64</v>
      </c>
      <c r="D16" s="87">
        <v>2000</v>
      </c>
      <c r="E16" s="80">
        <v>4</v>
      </c>
      <c r="F16" s="13">
        <f>D16*E16</f>
        <v>8000</v>
      </c>
      <c r="G16" s="60"/>
    </row>
    <row r="17" spans="2:7" x14ac:dyDescent="0.25">
      <c r="B17" s="88" t="s">
        <v>71</v>
      </c>
      <c r="C17" s="12" t="s">
        <v>20</v>
      </c>
      <c r="D17" s="87">
        <v>120</v>
      </c>
      <c r="E17" s="80">
        <v>600</v>
      </c>
      <c r="F17" s="13">
        <f>D17*E17</f>
        <v>72000</v>
      </c>
      <c r="G17" s="60" t="s">
        <v>72</v>
      </c>
    </row>
    <row r="18" spans="2:7" x14ac:dyDescent="0.25">
      <c r="B18" s="88" t="s">
        <v>8</v>
      </c>
      <c r="C18" s="12" t="s">
        <v>12</v>
      </c>
      <c r="D18" s="87">
        <v>20000</v>
      </c>
      <c r="E18" s="80">
        <v>1</v>
      </c>
      <c r="F18" s="13">
        <f>D18</f>
        <v>20000</v>
      </c>
      <c r="G18" s="60"/>
    </row>
    <row r="19" spans="2:7" x14ac:dyDescent="0.25">
      <c r="B19" s="88" t="s">
        <v>70</v>
      </c>
      <c r="C19" s="8" t="s">
        <v>12</v>
      </c>
      <c r="D19" s="87">
        <v>40000</v>
      </c>
      <c r="E19" s="80">
        <v>1</v>
      </c>
      <c r="F19" s="9">
        <f>D19</f>
        <v>40000</v>
      </c>
      <c r="G19" s="60"/>
    </row>
    <row r="20" spans="2:7" ht="3" customHeight="1" thickBot="1" x14ac:dyDescent="0.3">
      <c r="B20" s="33"/>
      <c r="C20" s="34"/>
      <c r="D20" s="35"/>
      <c r="E20" s="36"/>
      <c r="F20" s="37"/>
      <c r="G20" s="38"/>
    </row>
    <row r="21" spans="2:7" ht="14.1" customHeight="1" thickBot="1" x14ac:dyDescent="0.3">
      <c r="B21" s="162" t="s">
        <v>11</v>
      </c>
      <c r="C21" s="154"/>
      <c r="D21" s="154"/>
      <c r="E21" s="155"/>
      <c r="F21" s="15">
        <f>SUM(F6:F20)</f>
        <v>1025400</v>
      </c>
      <c r="G21" s="23"/>
    </row>
    <row r="22" spans="2:7" ht="14.1" customHeight="1" x14ac:dyDescent="0.25">
      <c r="B22" s="24"/>
      <c r="C22" s="16"/>
      <c r="D22" s="156" t="s">
        <v>26</v>
      </c>
      <c r="E22" s="157"/>
      <c r="F22" s="17"/>
      <c r="G22" s="25"/>
    </row>
    <row r="23" spans="2:7" ht="3" customHeight="1" x14ac:dyDescent="0.25">
      <c r="B23" s="47"/>
      <c r="C23" s="45"/>
      <c r="D23" s="48"/>
      <c r="E23" s="49"/>
      <c r="F23" s="46"/>
      <c r="G23" s="50"/>
    </row>
    <row r="24" spans="2:7" ht="14.1" customHeight="1" x14ac:dyDescent="0.25">
      <c r="B24" s="21" t="s">
        <v>4</v>
      </c>
      <c r="C24" s="8" t="s">
        <v>12</v>
      </c>
      <c r="D24" s="130">
        <v>0.12</v>
      </c>
      <c r="E24" s="131"/>
      <c r="F24" s="9">
        <f t="shared" ref="F24:F29" si="1">CEILING(D24*F$21,1000)</f>
        <v>124000</v>
      </c>
      <c r="G24" s="22"/>
    </row>
    <row r="25" spans="2:7" ht="14.1" customHeight="1" x14ac:dyDescent="0.25">
      <c r="B25" s="21" t="s">
        <v>27</v>
      </c>
      <c r="C25" s="8" t="s">
        <v>12</v>
      </c>
      <c r="D25" s="130">
        <v>0.02</v>
      </c>
      <c r="E25" s="131"/>
      <c r="F25" s="13">
        <f t="shared" si="1"/>
        <v>21000</v>
      </c>
      <c r="G25" s="22"/>
    </row>
    <row r="26" spans="2:7" ht="14.1" customHeight="1" x14ac:dyDescent="0.25">
      <c r="B26" s="21" t="s">
        <v>25</v>
      </c>
      <c r="C26" s="8" t="s">
        <v>12</v>
      </c>
      <c r="D26" s="130">
        <v>0.05</v>
      </c>
      <c r="E26" s="131"/>
      <c r="F26" s="13">
        <f t="shared" si="1"/>
        <v>52000</v>
      </c>
      <c r="G26" s="22"/>
    </row>
    <row r="27" spans="2:7" ht="14.1" customHeight="1" x14ac:dyDescent="0.25">
      <c r="B27" s="21" t="s">
        <v>30</v>
      </c>
      <c r="C27" s="8" t="s">
        <v>12</v>
      </c>
      <c r="D27" s="130">
        <v>0.05</v>
      </c>
      <c r="E27" s="131"/>
      <c r="F27" s="13">
        <f t="shared" si="1"/>
        <v>52000</v>
      </c>
      <c r="G27" s="22"/>
    </row>
    <row r="28" spans="2:7" ht="14.1" customHeight="1" x14ac:dyDescent="0.25">
      <c r="B28" s="21" t="s">
        <v>5</v>
      </c>
      <c r="C28" s="8" t="s">
        <v>12</v>
      </c>
      <c r="D28" s="130">
        <v>0.05</v>
      </c>
      <c r="E28" s="131"/>
      <c r="F28" s="13">
        <f t="shared" si="1"/>
        <v>52000</v>
      </c>
      <c r="G28" s="22"/>
    </row>
    <row r="29" spans="2:7" ht="14.1" customHeight="1" x14ac:dyDescent="0.25">
      <c r="B29" s="21" t="s">
        <v>9</v>
      </c>
      <c r="C29" s="8" t="s">
        <v>12</v>
      </c>
      <c r="D29" s="130">
        <v>0.08</v>
      </c>
      <c r="E29" s="131"/>
      <c r="F29" s="13">
        <f t="shared" si="1"/>
        <v>83000</v>
      </c>
      <c r="G29" s="22"/>
    </row>
    <row r="30" spans="2:7" ht="3" customHeight="1" thickBot="1" x14ac:dyDescent="0.3">
      <c r="B30" s="33"/>
      <c r="C30" s="34"/>
      <c r="D30" s="41"/>
      <c r="E30" s="42"/>
      <c r="F30" s="43"/>
      <c r="G30" s="44"/>
    </row>
    <row r="31" spans="2:7" ht="14.1" customHeight="1" thickBot="1" x14ac:dyDescent="0.3">
      <c r="B31" s="162" t="s">
        <v>11</v>
      </c>
      <c r="C31" s="154"/>
      <c r="D31" s="154"/>
      <c r="E31" s="155"/>
      <c r="F31" s="18">
        <f>SUM(F21:F30)</f>
        <v>1409400</v>
      </c>
      <c r="G31" s="23"/>
    </row>
    <row r="32" spans="2:7" ht="52.5" customHeight="1" x14ac:dyDescent="0.25">
      <c r="B32" s="26" t="s">
        <v>34</v>
      </c>
      <c r="C32" s="67">
        <v>0.3</v>
      </c>
      <c r="D32" s="132">
        <f>CEILING(F31*C32,1000)</f>
        <v>423000</v>
      </c>
      <c r="E32" s="133"/>
      <c r="F32" s="134"/>
      <c r="G32" s="116" t="s">
        <v>104</v>
      </c>
    </row>
    <row r="33" spans="2:7" ht="14.1" customHeight="1" x14ac:dyDescent="0.25">
      <c r="B33" s="109" t="s">
        <v>131</v>
      </c>
      <c r="C33" s="83">
        <v>0.05</v>
      </c>
      <c r="D33" s="132">
        <f ca="1">(F31+D32)*((1+C33)^('READ FIRST'!$C$5-YEAR(TODAY()))-1)</f>
        <v>394893.65250000003</v>
      </c>
      <c r="E33" s="133"/>
      <c r="F33" s="134"/>
      <c r="G33" s="91"/>
    </row>
    <row r="34" spans="2:7" ht="16.350000000000001" customHeight="1" thickBot="1" x14ac:dyDescent="0.3">
      <c r="B34" s="76" t="s">
        <v>78</v>
      </c>
      <c r="C34" s="119">
        <f>'READ FIRST'!$C$5</f>
        <v>2029</v>
      </c>
      <c r="D34" s="141">
        <f ca="1">F31+D32+D33</f>
        <v>2227293.6524999999</v>
      </c>
      <c r="E34" s="142"/>
      <c r="F34" s="143"/>
      <c r="G34" s="70"/>
    </row>
    <row r="35" spans="2:7" ht="12" customHeight="1" thickBot="1" x14ac:dyDescent="0.3">
      <c r="B35" s="10"/>
      <c r="C35" s="6"/>
      <c r="D35" s="7"/>
      <c r="E35" s="6"/>
      <c r="F35" s="7"/>
      <c r="G35" s="6"/>
    </row>
    <row r="36" spans="2:7" ht="16.350000000000001" customHeight="1" thickTop="1" x14ac:dyDescent="0.25">
      <c r="B36" s="27" t="s">
        <v>83</v>
      </c>
      <c r="C36" s="28">
        <v>0.15</v>
      </c>
      <c r="D36" s="158">
        <f ca="1">C36*$D$34</f>
        <v>334094.04787499999</v>
      </c>
      <c r="E36" s="137"/>
      <c r="F36" s="137"/>
      <c r="G36" s="29"/>
    </row>
    <row r="37" spans="2:7" ht="16.350000000000001" customHeight="1" thickBot="1" x14ac:dyDescent="0.3">
      <c r="B37" s="30" t="s">
        <v>84</v>
      </c>
      <c r="C37" s="31">
        <v>0.12</v>
      </c>
      <c r="D37" s="159">
        <f ca="1">C37*$D$34</f>
        <v>267275.23829999997</v>
      </c>
      <c r="E37" s="138"/>
      <c r="F37" s="138"/>
      <c r="G37" s="32"/>
    </row>
    <row r="38" spans="2:7" ht="12" customHeight="1" thickTop="1" thickBot="1" x14ac:dyDescent="0.3">
      <c r="B38" s="14"/>
      <c r="C38" s="6"/>
      <c r="D38" s="7"/>
      <c r="E38" s="6"/>
      <c r="F38" s="7"/>
      <c r="G38" s="6"/>
    </row>
    <row r="39" spans="2:7" ht="19.5" thickTop="1" x14ac:dyDescent="0.25">
      <c r="B39" s="53" t="s">
        <v>76</v>
      </c>
      <c r="C39" s="139">
        <f ca="1">SUM(D34,D36,D37)</f>
        <v>2828662.9386749999</v>
      </c>
      <c r="D39" s="140"/>
      <c r="E39" s="140"/>
      <c r="F39" s="140"/>
      <c r="G39" s="29"/>
    </row>
    <row r="40" spans="2:7" ht="19.5" thickBot="1" x14ac:dyDescent="0.3">
      <c r="B40" s="51" t="s">
        <v>74</v>
      </c>
      <c r="C40" s="135">
        <f ca="1">CEILING(C39,10000)</f>
        <v>2830000</v>
      </c>
      <c r="D40" s="136"/>
      <c r="E40" s="136"/>
      <c r="F40" s="136"/>
      <c r="G40" s="52"/>
    </row>
    <row r="41" spans="2:7" ht="15.75" thickTop="1" x14ac:dyDescent="0.25"/>
  </sheetData>
  <mergeCells count="19">
    <mergeCell ref="B3:G3"/>
    <mergeCell ref="B31:E31"/>
    <mergeCell ref="B2:G2"/>
    <mergeCell ref="B4:G4"/>
    <mergeCell ref="B21:E21"/>
    <mergeCell ref="D22:E22"/>
    <mergeCell ref="D24:E24"/>
    <mergeCell ref="D25:E25"/>
    <mergeCell ref="D26:E26"/>
    <mergeCell ref="D27:E27"/>
    <mergeCell ref="D28:E28"/>
    <mergeCell ref="C40:F40"/>
    <mergeCell ref="D32:F32"/>
    <mergeCell ref="D36:F36"/>
    <mergeCell ref="D37:F37"/>
    <mergeCell ref="C39:F39"/>
    <mergeCell ref="D33:F33"/>
    <mergeCell ref="D34:F34"/>
    <mergeCell ref="D29:E29"/>
  </mergeCells>
  <pageMargins left="0.25" right="0.25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6218-17CB-46F6-8214-1987DAFD400F}">
  <sheetPr>
    <pageSetUpPr fitToPage="1"/>
  </sheetPr>
  <dimension ref="B1:G37"/>
  <sheetViews>
    <sheetView topLeftCell="A15" zoomScale="120" zoomScaleNormal="120" workbookViewId="0">
      <selection activeCell="G11" sqref="G11"/>
    </sheetView>
  </sheetViews>
  <sheetFormatPr defaultRowHeight="15" x14ac:dyDescent="0.25"/>
  <cols>
    <col min="1" max="1" width="1.85546875" customWidth="1"/>
    <col min="2" max="2" width="50.42578125" customWidth="1"/>
    <col min="3" max="5" width="10.5703125" customWidth="1"/>
    <col min="6" max="6" width="15.5703125" customWidth="1"/>
    <col min="7" max="7" width="28.5703125" customWidth="1"/>
    <col min="8" max="8" width="5.5703125" customWidth="1"/>
    <col min="9" max="9" width="4.5703125" customWidth="1"/>
  </cols>
  <sheetData>
    <row r="1" spans="2:7" ht="11.45" customHeight="1" thickBot="1" x14ac:dyDescent="0.3"/>
    <row r="2" spans="2:7" ht="18" customHeight="1" thickTop="1" x14ac:dyDescent="0.25">
      <c r="B2" s="163" t="s">
        <v>137</v>
      </c>
      <c r="C2" s="164"/>
      <c r="D2" s="164"/>
      <c r="E2" s="164"/>
      <c r="F2" s="164"/>
      <c r="G2" s="165"/>
    </row>
    <row r="3" spans="2:7" ht="18" customHeight="1" x14ac:dyDescent="0.25">
      <c r="B3" s="160" t="s">
        <v>79</v>
      </c>
      <c r="C3" s="145"/>
      <c r="D3" s="145"/>
      <c r="E3" s="145"/>
      <c r="F3" s="145"/>
      <c r="G3" s="161"/>
    </row>
    <row r="4" spans="2:7" ht="18" customHeight="1" thickBot="1" x14ac:dyDescent="0.3">
      <c r="B4" s="166" t="s">
        <v>122</v>
      </c>
      <c r="C4" s="167"/>
      <c r="D4" s="167"/>
      <c r="E4" s="167"/>
      <c r="F4" s="167"/>
      <c r="G4" s="168"/>
    </row>
    <row r="5" spans="2:7" ht="14.1" customHeight="1" x14ac:dyDescent="0.25">
      <c r="B5" s="19" t="s">
        <v>35</v>
      </c>
      <c r="C5" s="11" t="s">
        <v>1</v>
      </c>
      <c r="D5" s="11" t="s">
        <v>22</v>
      </c>
      <c r="E5" s="11" t="s">
        <v>2</v>
      </c>
      <c r="F5" s="11" t="s">
        <v>3</v>
      </c>
      <c r="G5" s="20" t="s">
        <v>0</v>
      </c>
    </row>
    <row r="6" spans="2:7" ht="3" customHeight="1" x14ac:dyDescent="0.25">
      <c r="B6" s="39"/>
      <c r="C6" s="3"/>
      <c r="D6" s="3"/>
      <c r="E6" s="3"/>
      <c r="F6" s="3"/>
      <c r="G6" s="40"/>
    </row>
    <row r="7" spans="2:7" x14ac:dyDescent="0.25">
      <c r="B7" s="84" t="s">
        <v>48</v>
      </c>
      <c r="C7" s="100" t="s">
        <v>12</v>
      </c>
      <c r="D7" s="86">
        <v>2000</v>
      </c>
      <c r="E7" s="77">
        <v>1</v>
      </c>
      <c r="F7" s="101">
        <f>D7</f>
        <v>2000</v>
      </c>
      <c r="G7" s="58" t="s">
        <v>37</v>
      </c>
    </row>
    <row r="8" spans="2:7" x14ac:dyDescent="0.25">
      <c r="B8" s="88" t="s">
        <v>28</v>
      </c>
      <c r="C8" s="8" t="s">
        <v>13</v>
      </c>
      <c r="D8" s="87">
        <v>40</v>
      </c>
      <c r="E8" s="78">
        <v>12000</v>
      </c>
      <c r="F8" s="9">
        <f>D8*E8</f>
        <v>480000</v>
      </c>
      <c r="G8" s="59" t="s">
        <v>46</v>
      </c>
    </row>
    <row r="9" spans="2:7" x14ac:dyDescent="0.25">
      <c r="B9" s="88" t="s">
        <v>41</v>
      </c>
      <c r="C9" s="8" t="s">
        <v>14</v>
      </c>
      <c r="D9" s="87">
        <v>60</v>
      </c>
      <c r="E9" s="78">
        <v>8900</v>
      </c>
      <c r="F9" s="9">
        <f>D9*E9</f>
        <v>534000</v>
      </c>
      <c r="G9" s="59" t="s">
        <v>42</v>
      </c>
    </row>
    <row r="10" spans="2:7" x14ac:dyDescent="0.25">
      <c r="B10" s="88" t="s">
        <v>6</v>
      </c>
      <c r="C10" s="8" t="s">
        <v>14</v>
      </c>
      <c r="D10" s="87">
        <v>160</v>
      </c>
      <c r="E10" s="78">
        <v>2300</v>
      </c>
      <c r="F10" s="9">
        <f>D10*E10</f>
        <v>368000</v>
      </c>
      <c r="G10" s="59" t="s">
        <v>38</v>
      </c>
    </row>
    <row r="11" spans="2:7" x14ac:dyDescent="0.25">
      <c r="B11" s="88" t="s">
        <v>39</v>
      </c>
      <c r="C11" s="8" t="s">
        <v>15</v>
      </c>
      <c r="D11" s="87">
        <v>1300</v>
      </c>
      <c r="E11" s="78">
        <v>1200</v>
      </c>
      <c r="F11" s="9">
        <f>D11*E11</f>
        <v>1560000</v>
      </c>
      <c r="G11" s="59" t="s">
        <v>40</v>
      </c>
    </row>
    <row r="12" spans="2:7" ht="30" x14ac:dyDescent="0.25">
      <c r="B12" s="88" t="s">
        <v>45</v>
      </c>
      <c r="C12" s="8" t="s">
        <v>12</v>
      </c>
      <c r="D12" s="87">
        <v>80000</v>
      </c>
      <c r="E12" s="78">
        <v>1</v>
      </c>
      <c r="F12" s="9">
        <f>D12</f>
        <v>80000</v>
      </c>
      <c r="G12" s="59" t="s">
        <v>43</v>
      </c>
    </row>
    <row r="13" spans="2:7" x14ac:dyDescent="0.25">
      <c r="B13" s="88" t="s">
        <v>121</v>
      </c>
      <c r="C13" s="8" t="s">
        <v>12</v>
      </c>
      <c r="D13" s="87">
        <v>40000</v>
      </c>
      <c r="E13" s="78">
        <v>1</v>
      </c>
      <c r="F13" s="9">
        <f>D13</f>
        <v>40000</v>
      </c>
      <c r="G13" s="59"/>
    </row>
    <row r="14" spans="2:7" x14ac:dyDescent="0.25">
      <c r="B14" s="88" t="s">
        <v>23</v>
      </c>
      <c r="C14" s="8" t="s">
        <v>12</v>
      </c>
      <c r="D14" s="87">
        <v>10000</v>
      </c>
      <c r="E14" s="78">
        <v>1</v>
      </c>
      <c r="F14" s="9">
        <f>D14</f>
        <v>10000</v>
      </c>
      <c r="G14" s="59"/>
    </row>
    <row r="15" spans="2:7" ht="30" x14ac:dyDescent="0.25">
      <c r="B15" s="88" t="s">
        <v>19</v>
      </c>
      <c r="C15" s="8" t="s">
        <v>12</v>
      </c>
      <c r="D15" s="87">
        <v>30000</v>
      </c>
      <c r="E15" s="80">
        <v>1</v>
      </c>
      <c r="F15" s="9">
        <f>D15</f>
        <v>30000</v>
      </c>
      <c r="G15" s="59" t="s">
        <v>44</v>
      </c>
    </row>
    <row r="16" spans="2:7" ht="3" customHeight="1" thickBot="1" x14ac:dyDescent="0.3">
      <c r="B16" s="33"/>
      <c r="C16" s="34"/>
      <c r="D16" s="35"/>
      <c r="E16" s="36"/>
      <c r="F16" s="37"/>
      <c r="G16" s="38"/>
    </row>
    <row r="17" spans="2:7" ht="14.1" customHeight="1" thickBot="1" x14ac:dyDescent="0.3">
      <c r="B17" s="162" t="s">
        <v>11</v>
      </c>
      <c r="C17" s="154"/>
      <c r="D17" s="154"/>
      <c r="E17" s="155"/>
      <c r="F17" s="15">
        <f>SUM(F6:F16)</f>
        <v>3104000</v>
      </c>
      <c r="G17" s="23"/>
    </row>
    <row r="18" spans="2:7" ht="14.1" customHeight="1" x14ac:dyDescent="0.25">
      <c r="B18" s="24"/>
      <c r="C18" s="16"/>
      <c r="D18" s="156" t="s">
        <v>26</v>
      </c>
      <c r="E18" s="157"/>
      <c r="F18" s="17"/>
      <c r="G18" s="25"/>
    </row>
    <row r="19" spans="2:7" ht="3" customHeight="1" x14ac:dyDescent="0.25">
      <c r="B19" s="47"/>
      <c r="C19" s="45"/>
      <c r="D19" s="48"/>
      <c r="E19" s="49"/>
      <c r="F19" s="46"/>
      <c r="G19" s="50"/>
    </row>
    <row r="20" spans="2:7" x14ac:dyDescent="0.25">
      <c r="B20" s="21" t="s">
        <v>4</v>
      </c>
      <c r="C20" s="8" t="s">
        <v>12</v>
      </c>
      <c r="D20" s="130">
        <v>0.12</v>
      </c>
      <c r="E20" s="131"/>
      <c r="F20" s="9">
        <f t="shared" ref="F20:F25" si="0">CEILING(D20*F$17,1000)</f>
        <v>373000</v>
      </c>
      <c r="G20" s="60"/>
    </row>
    <row r="21" spans="2:7" x14ac:dyDescent="0.25">
      <c r="B21" s="21" t="s">
        <v>27</v>
      </c>
      <c r="C21" s="8" t="s">
        <v>12</v>
      </c>
      <c r="D21" s="130">
        <v>0.02</v>
      </c>
      <c r="E21" s="131"/>
      <c r="F21" s="9">
        <f t="shared" si="0"/>
        <v>63000</v>
      </c>
      <c r="G21" s="60"/>
    </row>
    <row r="22" spans="2:7" x14ac:dyDescent="0.25">
      <c r="B22" s="21" t="s">
        <v>25</v>
      </c>
      <c r="C22" s="8" t="s">
        <v>12</v>
      </c>
      <c r="D22" s="130">
        <v>0.05</v>
      </c>
      <c r="E22" s="131"/>
      <c r="F22" s="9">
        <f t="shared" si="0"/>
        <v>156000</v>
      </c>
      <c r="G22" s="60"/>
    </row>
    <row r="23" spans="2:7" x14ac:dyDescent="0.25">
      <c r="B23" s="21" t="s">
        <v>30</v>
      </c>
      <c r="C23" s="8" t="s">
        <v>12</v>
      </c>
      <c r="D23" s="130">
        <v>0.05</v>
      </c>
      <c r="E23" s="131"/>
      <c r="F23" s="9">
        <f t="shared" si="0"/>
        <v>156000</v>
      </c>
      <c r="G23" s="60"/>
    </row>
    <row r="24" spans="2:7" x14ac:dyDescent="0.25">
      <c r="B24" s="21" t="s">
        <v>5</v>
      </c>
      <c r="C24" s="8" t="s">
        <v>12</v>
      </c>
      <c r="D24" s="130">
        <v>0.05</v>
      </c>
      <c r="E24" s="131"/>
      <c r="F24" s="9">
        <f t="shared" si="0"/>
        <v>156000</v>
      </c>
      <c r="G24" s="60"/>
    </row>
    <row r="25" spans="2:7" ht="30" x14ac:dyDescent="0.25">
      <c r="B25" s="21" t="s">
        <v>9</v>
      </c>
      <c r="C25" s="8" t="s">
        <v>12</v>
      </c>
      <c r="D25" s="130">
        <v>0.04</v>
      </c>
      <c r="E25" s="131"/>
      <c r="F25" s="9">
        <f t="shared" si="0"/>
        <v>125000</v>
      </c>
      <c r="G25" s="60" t="s">
        <v>128</v>
      </c>
    </row>
    <row r="26" spans="2:7" ht="3" customHeight="1" thickBot="1" x14ac:dyDescent="0.3">
      <c r="B26" s="33"/>
      <c r="C26" s="34"/>
      <c r="D26" s="41"/>
      <c r="E26" s="42"/>
      <c r="F26" s="43"/>
      <c r="G26" s="44"/>
    </row>
    <row r="27" spans="2:7" ht="14.1" customHeight="1" thickBot="1" x14ac:dyDescent="0.3">
      <c r="B27" s="162" t="s">
        <v>11</v>
      </c>
      <c r="C27" s="154"/>
      <c r="D27" s="154"/>
      <c r="E27" s="155"/>
      <c r="F27" s="18">
        <f>SUM(F17:F26)</f>
        <v>4133000</v>
      </c>
      <c r="G27" s="23"/>
    </row>
    <row r="28" spans="2:7" ht="30" x14ac:dyDescent="0.25">
      <c r="B28" s="26" t="s">
        <v>34</v>
      </c>
      <c r="C28" s="67">
        <v>0.35</v>
      </c>
      <c r="D28" s="132">
        <f>CEILING(F27*C28,1000)</f>
        <v>1447000</v>
      </c>
      <c r="E28" s="133"/>
      <c r="F28" s="134"/>
      <c r="G28" s="61" t="s">
        <v>80</v>
      </c>
    </row>
    <row r="29" spans="2:7" x14ac:dyDescent="0.25">
      <c r="B29" s="109" t="s">
        <v>131</v>
      </c>
      <c r="C29" s="83">
        <v>0.05</v>
      </c>
      <c r="D29" s="132">
        <f ca="1">(F27+D28)*((1+C29)^('READ FIRST'!$C$5-YEAR(TODAY()))-1)</f>
        <v>1202524.875</v>
      </c>
      <c r="E29" s="133"/>
      <c r="F29" s="134"/>
      <c r="G29" s="91"/>
    </row>
    <row r="30" spans="2:7" ht="16.350000000000001" customHeight="1" thickBot="1" x14ac:dyDescent="0.3">
      <c r="B30" s="76" t="s">
        <v>78</v>
      </c>
      <c r="C30" s="119">
        <f>'READ FIRST'!$C$5</f>
        <v>2029</v>
      </c>
      <c r="D30" s="141">
        <f ca="1">F27+D28+D29</f>
        <v>6782524.875</v>
      </c>
      <c r="E30" s="142"/>
      <c r="F30" s="143"/>
      <c r="G30" s="70"/>
    </row>
    <row r="31" spans="2:7" ht="12" customHeight="1" thickBot="1" x14ac:dyDescent="0.3">
      <c r="B31" s="10"/>
      <c r="C31" s="6"/>
      <c r="D31" s="7"/>
      <c r="E31" s="6"/>
      <c r="F31" s="7"/>
      <c r="G31" s="6"/>
    </row>
    <row r="32" spans="2:7" ht="16.350000000000001" customHeight="1" thickTop="1" x14ac:dyDescent="0.25">
      <c r="B32" s="27" t="s">
        <v>32</v>
      </c>
      <c r="C32" s="28">
        <v>0.12</v>
      </c>
      <c r="D32" s="137">
        <f ca="1">C32*$D$30</f>
        <v>813902.98499999999</v>
      </c>
      <c r="E32" s="137"/>
      <c r="F32" s="137"/>
      <c r="G32" s="29"/>
    </row>
    <row r="33" spans="2:7" ht="16.350000000000001" customHeight="1" thickBot="1" x14ac:dyDescent="0.3">
      <c r="B33" s="30" t="s">
        <v>33</v>
      </c>
      <c r="C33" s="31">
        <v>0.1</v>
      </c>
      <c r="D33" s="138">
        <f ca="1">C33*$D$30</f>
        <v>678252.48750000005</v>
      </c>
      <c r="E33" s="138"/>
      <c r="F33" s="138"/>
      <c r="G33" s="32"/>
    </row>
    <row r="34" spans="2:7" ht="12" customHeight="1" thickTop="1" thickBot="1" x14ac:dyDescent="0.3">
      <c r="B34" s="14"/>
      <c r="C34" s="6"/>
      <c r="D34" s="7"/>
      <c r="E34" s="6"/>
      <c r="F34" s="7"/>
      <c r="G34" s="6"/>
    </row>
    <row r="35" spans="2:7" ht="19.5" thickTop="1" x14ac:dyDescent="0.25">
      <c r="B35" s="53" t="s">
        <v>31</v>
      </c>
      <c r="C35" s="139">
        <f ca="1">SUM(D30,D32,D33)</f>
        <v>8274680.3475000001</v>
      </c>
      <c r="D35" s="140"/>
      <c r="E35" s="140"/>
      <c r="F35" s="140"/>
      <c r="G35" s="29"/>
    </row>
    <row r="36" spans="2:7" ht="19.5" thickBot="1" x14ac:dyDescent="0.3">
      <c r="B36" s="51" t="s">
        <v>74</v>
      </c>
      <c r="C36" s="135">
        <f ca="1">CEILING(C35,10000)</f>
        <v>8280000</v>
      </c>
      <c r="D36" s="136"/>
      <c r="E36" s="136"/>
      <c r="F36" s="136"/>
      <c r="G36" s="52"/>
    </row>
    <row r="37" spans="2:7" ht="15.75" thickTop="1" x14ac:dyDescent="0.25"/>
  </sheetData>
  <mergeCells count="19">
    <mergeCell ref="B2:G2"/>
    <mergeCell ref="B4:G4"/>
    <mergeCell ref="B17:E17"/>
    <mergeCell ref="D18:E18"/>
    <mergeCell ref="D20:E20"/>
    <mergeCell ref="B3:G3"/>
    <mergeCell ref="C36:F36"/>
    <mergeCell ref="D28:F28"/>
    <mergeCell ref="D32:F32"/>
    <mergeCell ref="D33:F33"/>
    <mergeCell ref="C35:F35"/>
    <mergeCell ref="D29:F29"/>
    <mergeCell ref="D30:F30"/>
    <mergeCell ref="B27:E27"/>
    <mergeCell ref="D21:E21"/>
    <mergeCell ref="D22:E22"/>
    <mergeCell ref="D23:E23"/>
    <mergeCell ref="D24:E24"/>
    <mergeCell ref="D25:E25"/>
  </mergeCells>
  <pageMargins left="0.25" right="0.25" top="0.75" bottom="0.75" header="0.3" footer="0.3"/>
  <pageSetup scale="83" orientation="portrait" r:id="rId1"/>
  <ignoredErrors>
    <ignoredError sqref="F1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5E77-E91F-4C3A-AA18-4FFBD6B39B1D}">
  <sheetPr>
    <pageSetUpPr fitToPage="1"/>
  </sheetPr>
  <dimension ref="B1:G36"/>
  <sheetViews>
    <sheetView tabSelected="1" zoomScale="120" zoomScaleNormal="120" workbookViewId="0">
      <selection activeCell="B3" sqref="B3:G3"/>
    </sheetView>
  </sheetViews>
  <sheetFormatPr defaultRowHeight="15" x14ac:dyDescent="0.25"/>
  <cols>
    <col min="1" max="1" width="1.85546875" customWidth="1"/>
    <col min="2" max="2" width="50.42578125" customWidth="1"/>
    <col min="3" max="5" width="10.5703125" customWidth="1"/>
    <col min="6" max="6" width="15.5703125" customWidth="1"/>
    <col min="7" max="7" width="28.5703125" customWidth="1"/>
    <col min="8" max="8" width="5.5703125" customWidth="1"/>
    <col min="9" max="9" width="4.5703125" customWidth="1"/>
  </cols>
  <sheetData>
    <row r="1" spans="2:7" ht="11.45" customHeight="1" thickBot="1" x14ac:dyDescent="0.3"/>
    <row r="2" spans="2:7" ht="18" customHeight="1" thickTop="1" x14ac:dyDescent="0.25">
      <c r="B2" s="163" t="s">
        <v>133</v>
      </c>
      <c r="C2" s="164"/>
      <c r="D2" s="164"/>
      <c r="E2" s="164"/>
      <c r="F2" s="164"/>
      <c r="G2" s="165"/>
    </row>
    <row r="3" spans="2:7" ht="18" customHeight="1" x14ac:dyDescent="0.25">
      <c r="B3" s="160" t="s">
        <v>107</v>
      </c>
      <c r="C3" s="145"/>
      <c r="D3" s="145"/>
      <c r="E3" s="145"/>
      <c r="F3" s="145"/>
      <c r="G3" s="161"/>
    </row>
    <row r="4" spans="2:7" ht="18" customHeight="1" thickBot="1" x14ac:dyDescent="0.3">
      <c r="B4" s="166" t="s">
        <v>111</v>
      </c>
      <c r="C4" s="167"/>
      <c r="D4" s="167"/>
      <c r="E4" s="167"/>
      <c r="F4" s="167"/>
      <c r="G4" s="168"/>
    </row>
    <row r="5" spans="2:7" ht="14.1" customHeight="1" x14ac:dyDescent="0.25">
      <c r="B5" s="19" t="s">
        <v>35</v>
      </c>
      <c r="C5" s="114" t="s">
        <v>1</v>
      </c>
      <c r="D5" s="114" t="s">
        <v>22</v>
      </c>
      <c r="E5" s="114" t="s">
        <v>2</v>
      </c>
      <c r="F5" s="114" t="s">
        <v>3</v>
      </c>
      <c r="G5" s="20" t="s">
        <v>0</v>
      </c>
    </row>
    <row r="6" spans="2:7" ht="3" customHeight="1" x14ac:dyDescent="0.25">
      <c r="B6" s="39"/>
      <c r="C6" s="3"/>
      <c r="D6" s="3"/>
      <c r="E6" s="3"/>
      <c r="F6" s="3"/>
      <c r="G6" s="40"/>
    </row>
    <row r="7" spans="2:7" x14ac:dyDescent="0.25">
      <c r="B7" s="84" t="s">
        <v>48</v>
      </c>
      <c r="C7" s="100" t="s">
        <v>12</v>
      </c>
      <c r="D7" s="86">
        <v>50000</v>
      </c>
      <c r="E7" s="77">
        <v>1</v>
      </c>
      <c r="F7" s="101">
        <f>D7</f>
        <v>50000</v>
      </c>
      <c r="G7" s="58"/>
    </row>
    <row r="8" spans="2:7" x14ac:dyDescent="0.25">
      <c r="B8" s="88" t="s">
        <v>28</v>
      </c>
      <c r="C8" s="111" t="s">
        <v>13</v>
      </c>
      <c r="D8" s="87">
        <v>50</v>
      </c>
      <c r="E8" s="78">
        <v>2000</v>
      </c>
      <c r="F8" s="112">
        <f>D8*E8</f>
        <v>100000</v>
      </c>
      <c r="G8" s="59"/>
    </row>
    <row r="9" spans="2:7" ht="30" x14ac:dyDescent="0.25">
      <c r="B9" s="88" t="s">
        <v>41</v>
      </c>
      <c r="C9" s="111" t="s">
        <v>14</v>
      </c>
      <c r="D9" s="87">
        <v>60</v>
      </c>
      <c r="E9" s="78">
        <f>ROUNDUP(0.25*2*5280*20*0.75*139/2000,-2)</f>
        <v>2800</v>
      </c>
      <c r="F9" s="112">
        <f>D9*E9</f>
        <v>168000</v>
      </c>
      <c r="G9" s="123" t="s">
        <v>112</v>
      </c>
    </row>
    <row r="10" spans="2:7" ht="34.700000000000003" customHeight="1" x14ac:dyDescent="0.25">
      <c r="B10" s="88" t="s">
        <v>6</v>
      </c>
      <c r="C10" s="111" t="s">
        <v>14</v>
      </c>
      <c r="D10" s="87">
        <v>170</v>
      </c>
      <c r="E10" s="78">
        <f>ROUNDUP(0.25*2*5280*20*0.5*145.2/2000,-2)</f>
        <v>2000</v>
      </c>
      <c r="F10" s="112">
        <f>D10*E10</f>
        <v>340000</v>
      </c>
      <c r="G10" s="123" t="s">
        <v>113</v>
      </c>
    </row>
    <row r="11" spans="2:7" ht="30" x14ac:dyDescent="0.25">
      <c r="B11" s="88" t="s">
        <v>45</v>
      </c>
      <c r="C11" s="111" t="s">
        <v>12</v>
      </c>
      <c r="D11" s="87">
        <v>80000</v>
      </c>
      <c r="E11" s="78">
        <v>1</v>
      </c>
      <c r="F11" s="112">
        <f>D11</f>
        <v>80000</v>
      </c>
      <c r="G11" s="123" t="s">
        <v>43</v>
      </c>
    </row>
    <row r="12" spans="2:7" x14ac:dyDescent="0.25">
      <c r="B12" s="88" t="s">
        <v>121</v>
      </c>
      <c r="C12" s="111" t="s">
        <v>12</v>
      </c>
      <c r="D12" s="87">
        <v>40000</v>
      </c>
      <c r="E12" s="78">
        <v>1</v>
      </c>
      <c r="F12" s="112">
        <f>D12</f>
        <v>40000</v>
      </c>
      <c r="G12" s="59"/>
    </row>
    <row r="13" spans="2:7" x14ac:dyDescent="0.25">
      <c r="B13" s="88" t="s">
        <v>23</v>
      </c>
      <c r="C13" s="111" t="s">
        <v>12</v>
      </c>
      <c r="D13" s="87">
        <v>25000</v>
      </c>
      <c r="E13" s="78">
        <v>1</v>
      </c>
      <c r="F13" s="112">
        <f>D13</f>
        <v>25000</v>
      </c>
      <c r="G13" s="59"/>
    </row>
    <row r="14" spans="2:7" ht="45" x14ac:dyDescent="0.25">
      <c r="B14" s="88" t="s">
        <v>19</v>
      </c>
      <c r="C14" s="111" t="s">
        <v>12</v>
      </c>
      <c r="D14" s="87">
        <v>200000</v>
      </c>
      <c r="E14" s="80">
        <v>1</v>
      </c>
      <c r="F14" s="112">
        <f>D14</f>
        <v>200000</v>
      </c>
      <c r="G14" s="59" t="s">
        <v>110</v>
      </c>
    </row>
    <row r="15" spans="2:7" ht="3" customHeight="1" thickBot="1" x14ac:dyDescent="0.3">
      <c r="B15" s="33"/>
      <c r="C15" s="34"/>
      <c r="D15" s="35"/>
      <c r="E15" s="36"/>
      <c r="F15" s="37"/>
      <c r="G15" s="38"/>
    </row>
    <row r="16" spans="2:7" ht="14.1" customHeight="1" thickBot="1" x14ac:dyDescent="0.3">
      <c r="B16" s="162" t="s">
        <v>11</v>
      </c>
      <c r="C16" s="154"/>
      <c r="D16" s="154"/>
      <c r="E16" s="155"/>
      <c r="F16" s="15">
        <f>SUM(F6:F15)</f>
        <v>1003000</v>
      </c>
      <c r="G16" s="23"/>
    </row>
    <row r="17" spans="2:7" ht="14.1" customHeight="1" x14ac:dyDescent="0.25">
      <c r="B17" s="24"/>
      <c r="C17" s="16"/>
      <c r="D17" s="156" t="s">
        <v>26</v>
      </c>
      <c r="E17" s="157"/>
      <c r="F17" s="17"/>
      <c r="G17" s="25"/>
    </row>
    <row r="18" spans="2:7" ht="3" customHeight="1" x14ac:dyDescent="0.25">
      <c r="B18" s="47"/>
      <c r="C18" s="110"/>
      <c r="D18" s="48"/>
      <c r="E18" s="49"/>
      <c r="F18" s="112"/>
      <c r="G18" s="50"/>
    </row>
    <row r="19" spans="2:7" x14ac:dyDescent="0.25">
      <c r="B19" s="21" t="s">
        <v>4</v>
      </c>
      <c r="C19" s="111" t="s">
        <v>12</v>
      </c>
      <c r="D19" s="130">
        <v>0.12</v>
      </c>
      <c r="E19" s="131"/>
      <c r="F19" s="112">
        <f t="shared" ref="F19:F24" si="0">CEILING(D19*F$16,1000)</f>
        <v>121000</v>
      </c>
      <c r="G19" s="60"/>
    </row>
    <row r="20" spans="2:7" x14ac:dyDescent="0.25">
      <c r="B20" s="21" t="s">
        <v>27</v>
      </c>
      <c r="C20" s="111" t="s">
        <v>12</v>
      </c>
      <c r="D20" s="130">
        <v>0.02</v>
      </c>
      <c r="E20" s="131"/>
      <c r="F20" s="112">
        <f t="shared" si="0"/>
        <v>21000</v>
      </c>
      <c r="G20" s="60"/>
    </row>
    <row r="21" spans="2:7" x14ac:dyDescent="0.25">
      <c r="B21" s="21" t="s">
        <v>25</v>
      </c>
      <c r="C21" s="111" t="s">
        <v>12</v>
      </c>
      <c r="D21" s="130">
        <v>0.05</v>
      </c>
      <c r="E21" s="131"/>
      <c r="F21" s="112">
        <f t="shared" si="0"/>
        <v>51000</v>
      </c>
      <c r="G21" s="60"/>
    </row>
    <row r="22" spans="2:7" x14ac:dyDescent="0.25">
      <c r="B22" s="21" t="s">
        <v>30</v>
      </c>
      <c r="C22" s="111" t="s">
        <v>12</v>
      </c>
      <c r="D22" s="130">
        <v>0.05</v>
      </c>
      <c r="E22" s="131"/>
      <c r="F22" s="112">
        <f t="shared" si="0"/>
        <v>51000</v>
      </c>
      <c r="G22" s="60"/>
    </row>
    <row r="23" spans="2:7" x14ac:dyDescent="0.25">
      <c r="B23" s="21" t="s">
        <v>5</v>
      </c>
      <c r="C23" s="111" t="s">
        <v>12</v>
      </c>
      <c r="D23" s="130">
        <v>0.05</v>
      </c>
      <c r="E23" s="131"/>
      <c r="F23" s="112">
        <f t="shared" si="0"/>
        <v>51000</v>
      </c>
      <c r="G23" s="60"/>
    </row>
    <row r="24" spans="2:7" x14ac:dyDescent="0.25">
      <c r="B24" s="21" t="s">
        <v>9</v>
      </c>
      <c r="C24" s="111" t="s">
        <v>12</v>
      </c>
      <c r="D24" s="130">
        <v>0.15</v>
      </c>
      <c r="E24" s="131"/>
      <c r="F24" s="112">
        <f t="shared" si="0"/>
        <v>151000</v>
      </c>
      <c r="G24" s="60" t="s">
        <v>129</v>
      </c>
    </row>
    <row r="25" spans="2:7" ht="3" customHeight="1" thickBot="1" x14ac:dyDescent="0.3">
      <c r="B25" s="33"/>
      <c r="C25" s="34"/>
      <c r="D25" s="41"/>
      <c r="E25" s="42"/>
      <c r="F25" s="43"/>
      <c r="G25" s="44"/>
    </row>
    <row r="26" spans="2:7" ht="14.1" customHeight="1" thickBot="1" x14ac:dyDescent="0.3">
      <c r="B26" s="162" t="s">
        <v>11</v>
      </c>
      <c r="C26" s="154"/>
      <c r="D26" s="154"/>
      <c r="E26" s="155"/>
      <c r="F26" s="18">
        <f>SUM(F16:F25)</f>
        <v>1449000</v>
      </c>
      <c r="G26" s="23"/>
    </row>
    <row r="27" spans="2:7" ht="30" x14ac:dyDescent="0.25">
      <c r="B27" s="26" t="s">
        <v>34</v>
      </c>
      <c r="C27" s="67">
        <v>0.35</v>
      </c>
      <c r="D27" s="132">
        <f>CEILING(F26*C27,1000)</f>
        <v>508000</v>
      </c>
      <c r="E27" s="133"/>
      <c r="F27" s="134"/>
      <c r="G27" s="61" t="s">
        <v>80</v>
      </c>
    </row>
    <row r="28" spans="2:7" x14ac:dyDescent="0.25">
      <c r="B28" s="109" t="s">
        <v>131</v>
      </c>
      <c r="C28" s="83">
        <v>0.05</v>
      </c>
      <c r="D28" s="132">
        <f ca="1">(F26+D27)*((1+C28)^('READ FIRST'!$C$5-YEAR(TODAY()))-1)</f>
        <v>421745.73125000001</v>
      </c>
      <c r="E28" s="133"/>
      <c r="F28" s="134"/>
      <c r="G28" s="91"/>
    </row>
    <row r="29" spans="2:7" ht="16.350000000000001" customHeight="1" thickBot="1" x14ac:dyDescent="0.3">
      <c r="B29" s="76" t="s">
        <v>78</v>
      </c>
      <c r="C29" s="119">
        <f>'READ FIRST'!$C$5</f>
        <v>2029</v>
      </c>
      <c r="D29" s="141">
        <f ca="1">F26+D27+D28</f>
        <v>2378745.7312500002</v>
      </c>
      <c r="E29" s="142"/>
      <c r="F29" s="143"/>
      <c r="G29" s="70"/>
    </row>
    <row r="30" spans="2:7" ht="12" customHeight="1" thickBot="1" x14ac:dyDescent="0.3">
      <c r="B30" s="113"/>
      <c r="C30" s="6"/>
      <c r="D30" s="7"/>
      <c r="E30" s="6"/>
      <c r="F30" s="7"/>
      <c r="G30" s="6"/>
    </row>
    <row r="31" spans="2:7" ht="16.350000000000001" customHeight="1" thickTop="1" x14ac:dyDescent="0.25">
      <c r="B31" s="122" t="s">
        <v>109</v>
      </c>
      <c r="C31" s="28">
        <v>0.12</v>
      </c>
      <c r="D31" s="137">
        <f ca="1">C31*$D$29</f>
        <v>285449.48775000003</v>
      </c>
      <c r="E31" s="137"/>
      <c r="F31" s="137"/>
      <c r="G31" s="169" t="s">
        <v>117</v>
      </c>
    </row>
    <row r="32" spans="2:7" ht="16.350000000000001" customHeight="1" thickBot="1" x14ac:dyDescent="0.3">
      <c r="B32" s="126" t="s">
        <v>108</v>
      </c>
      <c r="C32" s="31">
        <v>0.12</v>
      </c>
      <c r="D32" s="138">
        <f ca="1">C32*$D$29</f>
        <v>285449.48775000003</v>
      </c>
      <c r="E32" s="138"/>
      <c r="F32" s="138"/>
      <c r="G32" s="170"/>
    </row>
    <row r="33" spans="2:7" ht="12" customHeight="1" thickTop="1" thickBot="1" x14ac:dyDescent="0.3">
      <c r="B33" s="14"/>
      <c r="C33" s="6"/>
      <c r="D33" s="7"/>
      <c r="E33" s="6"/>
      <c r="F33" s="7"/>
      <c r="G33" s="6"/>
    </row>
    <row r="34" spans="2:7" ht="19.5" thickTop="1" x14ac:dyDescent="0.25">
      <c r="B34" s="53" t="s">
        <v>31</v>
      </c>
      <c r="C34" s="139">
        <f ca="1">SUM(D29:F32)</f>
        <v>2949644.7067499999</v>
      </c>
      <c r="D34" s="140"/>
      <c r="E34" s="140"/>
      <c r="F34" s="140"/>
      <c r="G34" s="29"/>
    </row>
    <row r="35" spans="2:7" ht="90.75" thickBot="1" x14ac:dyDescent="0.3">
      <c r="B35" s="51" t="s">
        <v>74</v>
      </c>
      <c r="C35" s="135">
        <f ca="1">CEILING(C34,10000)</f>
        <v>2950000</v>
      </c>
      <c r="D35" s="136"/>
      <c r="E35" s="136"/>
      <c r="F35" s="136"/>
      <c r="G35" s="121" t="s">
        <v>130</v>
      </c>
    </row>
    <row r="36" spans="2:7" ht="15.75" thickTop="1" x14ac:dyDescent="0.25"/>
  </sheetData>
  <mergeCells count="20">
    <mergeCell ref="D20:E20"/>
    <mergeCell ref="B2:G2"/>
    <mergeCell ref="B3:G3"/>
    <mergeCell ref="B4:G4"/>
    <mergeCell ref="B16:E16"/>
    <mergeCell ref="D17:E17"/>
    <mergeCell ref="D19:E19"/>
    <mergeCell ref="C35:F35"/>
    <mergeCell ref="D31:F31"/>
    <mergeCell ref="D32:F32"/>
    <mergeCell ref="C34:F34"/>
    <mergeCell ref="D23:E23"/>
    <mergeCell ref="D24:E24"/>
    <mergeCell ref="B26:E26"/>
    <mergeCell ref="G31:G32"/>
    <mergeCell ref="D27:F27"/>
    <mergeCell ref="D28:F28"/>
    <mergeCell ref="D29:F29"/>
    <mergeCell ref="D21:E21"/>
    <mergeCell ref="D22:E22"/>
  </mergeCells>
  <pageMargins left="0.25" right="0.25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 FIRST</vt:lpstr>
      <vt:lpstr>Sample 1 - Major Reconstruction</vt:lpstr>
      <vt:lpstr>Sample 2 - Rehabilitation</vt:lpstr>
      <vt:lpstr>Sample 3 - Parking Lot</vt:lpstr>
      <vt:lpstr>Sample 4 - Share Use Path</vt:lpstr>
      <vt:lpstr>Sample 5 - Intersection</vt:lpstr>
    </vt:vector>
  </TitlesOfParts>
  <Company>FHWA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Jeffrey.Felling@dot.gov</dc:creator>
  <cp:lastModifiedBy>Valdez, Andrew (FHWA)</cp:lastModifiedBy>
  <cp:lastPrinted>2017-09-08T17:02:19Z</cp:lastPrinted>
  <dcterms:created xsi:type="dcterms:W3CDTF">2017-01-07T20:50:45Z</dcterms:created>
  <dcterms:modified xsi:type="dcterms:W3CDTF">2025-10-06T20:40:24Z</dcterms:modified>
</cp:coreProperties>
</file>