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Files\_AA temp adobe files\"/>
    </mc:Choice>
  </mc:AlternateContent>
  <bookViews>
    <workbookView xWindow="600" yWindow="45" windowWidth="15360" windowHeight="9000" tabRatio="772"/>
  </bookViews>
  <sheets>
    <sheet name="Sealed Bid" sheetId="4" r:id="rId1"/>
    <sheet name="MATOC (price only)" sheetId="10" r:id="rId2"/>
    <sheet name="MATOC (evaluation factors)" sheetId="11" r:id="rId3"/>
    <sheet name="Negotiated" sheetId="13" r:id="rId4"/>
    <sheet name="8(a)" sheetId="12" r:id="rId5"/>
  </sheets>
  <definedNames>
    <definedName name="Arrives" comment="Arrival date in PS&amp;E" localSheetId="4">'8(a)'!$D$33</definedName>
    <definedName name="Arrives" comment="Arrival date in PS&amp;E" localSheetId="2">'MATOC (evaluation factors)'!$D$33</definedName>
    <definedName name="Arrives" comment="Arrival date in PS&amp;E" localSheetId="1">'MATOC (price only)'!$D$30</definedName>
    <definedName name="Arrives" comment="Arrival date in PS&amp;E" localSheetId="3">Negotiated!$D$36</definedName>
    <definedName name="Arrives" comment="Arrival date in PS&amp;E" localSheetId="0">'Sealed Bid'!$D$30</definedName>
    <definedName name="Christmas" comment="Days to add near Christmas">'Sealed Bid'!$H$41:$J$47</definedName>
    <definedName name="Holidays" comment="Holiday Listing for current and next years" localSheetId="4">'8(a)'!$B$45:$B$66</definedName>
    <definedName name="Holidays" comment="Holiday Listing for current and next years" localSheetId="2">'MATOC (evaluation factors)'!$B$45:$B$66</definedName>
    <definedName name="Holidays" comment="Holiday Listing for current and next years" localSheetId="1">'MATOC (price only)'!$B$42:$B$63</definedName>
    <definedName name="Holidays" comment="Holiday Listing for current and next years" localSheetId="3">Negotiated!$B$46:$B$67</definedName>
    <definedName name="Holidays" comment="Holiday Listing for current and next years" localSheetId="0">'Sealed Bid'!$B$40:$B$61</definedName>
    <definedName name="Montana" comment="Toggle for Montana projects" localSheetId="0">'Sealed Bid'!#REF!</definedName>
    <definedName name="_xlnm.Print_Area" localSheetId="4">'8(a)'!$B$2:$G$43</definedName>
    <definedName name="_xlnm.Print_Area" localSheetId="2">'MATOC (evaluation factors)'!$B$2:$G$43</definedName>
    <definedName name="_xlnm.Print_Area" localSheetId="1">'MATOC (price only)'!$B$2:$G$40</definedName>
    <definedName name="_xlnm.Print_Area" localSheetId="3">Negotiated!$B$2:$G$44</definedName>
    <definedName name="_xlnm.Print_Area" localSheetId="0">'Sealed Bid'!$B$2:$G$38</definedName>
    <definedName name="Year" comment="Year for calculating holidays" localSheetId="4">'8(a)'!$B$44</definedName>
    <definedName name="Year" comment="Year for calculating holidays" localSheetId="2">'MATOC (evaluation factors)'!$B$44</definedName>
    <definedName name="Year" comment="Year for calculating holidays" localSheetId="1">'MATOC (price only)'!$B$41</definedName>
    <definedName name="Year" comment="Year for calculating holidays" localSheetId="3">Negotiated!$B$45</definedName>
    <definedName name="Year" comment="Year for calculating holidays" localSheetId="0">'Sealed Bid'!$B$39</definedName>
  </definedNames>
  <calcPr calcId="171027"/>
</workbook>
</file>

<file path=xl/calcChain.xml><?xml version="1.0" encoding="utf-8"?>
<calcChain xmlns="http://schemas.openxmlformats.org/spreadsheetml/2006/main">
  <c r="F9" i="12" l="1"/>
  <c r="G15" i="4" l="1"/>
  <c r="H15" i="4"/>
  <c r="F9" i="13" l="1"/>
  <c r="B44" i="12"/>
  <c r="B66" i="12" s="1"/>
  <c r="B45" i="13"/>
  <c r="B67" i="13" s="1"/>
  <c r="B44" i="11"/>
  <c r="B66" i="11" s="1"/>
  <c r="B41" i="10"/>
  <c r="B63" i="10" s="1"/>
  <c r="H9" i="12"/>
  <c r="H9" i="13"/>
  <c r="F9" i="11"/>
  <c r="H9" i="11"/>
  <c r="H9" i="10"/>
  <c r="F9" i="10"/>
  <c r="B46" i="12" l="1"/>
  <c r="B48" i="12"/>
  <c r="B50" i="12"/>
  <c r="B52" i="12"/>
  <c r="B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B45" i="12"/>
  <c r="B47" i="12"/>
  <c r="B49" i="12"/>
  <c r="B51" i="12"/>
  <c r="B53" i="12"/>
  <c r="B55" i="12"/>
  <c r="B56" i="12"/>
  <c r="B57" i="12"/>
  <c r="B58" i="12"/>
  <c r="B59" i="12"/>
  <c r="B60" i="12"/>
  <c r="B61" i="12"/>
  <c r="B62" i="12"/>
  <c r="B63" i="12"/>
  <c r="B64" i="12"/>
  <c r="B65" i="12"/>
  <c r="B47" i="13"/>
  <c r="B49" i="13"/>
  <c r="B51" i="13"/>
  <c r="B53" i="13"/>
  <c r="B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B46" i="13"/>
  <c r="B48" i="13"/>
  <c r="B50" i="13"/>
  <c r="B52" i="13"/>
  <c r="B54" i="13"/>
  <c r="B56" i="13"/>
  <c r="B57" i="13"/>
  <c r="B58" i="13"/>
  <c r="B59" i="13"/>
  <c r="B60" i="13"/>
  <c r="B61" i="13"/>
  <c r="B62" i="13"/>
  <c r="B63" i="13"/>
  <c r="B64" i="13"/>
  <c r="B65" i="13"/>
  <c r="B66" i="13"/>
  <c r="B46" i="11"/>
  <c r="B48" i="11"/>
  <c r="B50" i="11"/>
  <c r="B52" i="11"/>
  <c r="B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B45" i="11"/>
  <c r="B47" i="11"/>
  <c r="B49" i="11"/>
  <c r="B51" i="11"/>
  <c r="B53" i="11"/>
  <c r="B55" i="11"/>
  <c r="B56" i="11"/>
  <c r="B57" i="11"/>
  <c r="B58" i="11"/>
  <c r="B59" i="11"/>
  <c r="B60" i="11"/>
  <c r="B61" i="11"/>
  <c r="B62" i="11"/>
  <c r="B63" i="11"/>
  <c r="B64" i="11"/>
  <c r="B65" i="11"/>
  <c r="B43" i="10"/>
  <c r="B45" i="10"/>
  <c r="B47" i="10"/>
  <c r="B49" i="10"/>
  <c r="B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B42" i="10"/>
  <c r="B44" i="10"/>
  <c r="B46" i="10"/>
  <c r="B48" i="10"/>
  <c r="B50" i="10"/>
  <c r="B52" i="10"/>
  <c r="B53" i="10"/>
  <c r="B54" i="10"/>
  <c r="B55" i="10"/>
  <c r="B56" i="10"/>
  <c r="B57" i="10"/>
  <c r="B58" i="10"/>
  <c r="B59" i="10"/>
  <c r="B60" i="10"/>
  <c r="B61" i="10"/>
  <c r="B62" i="10"/>
  <c r="D27" i="10" l="1"/>
  <c r="D24" i="10" s="1"/>
  <c r="D21" i="10" s="1"/>
  <c r="D18" i="10" s="1"/>
  <c r="F19" i="10" s="1"/>
  <c r="F9" i="4"/>
  <c r="H9" i="4"/>
  <c r="C33" i="12"/>
  <c r="H15" i="11"/>
  <c r="C33" i="11"/>
  <c r="C30" i="10"/>
  <c r="H18" i="13"/>
  <c r="H24" i="13"/>
  <c r="C36" i="13"/>
  <c r="B39" i="4"/>
  <c r="B40" i="4" s="1"/>
  <c r="F18" i="4"/>
  <c r="H18" i="4"/>
  <c r="C30" i="4"/>
  <c r="F22" i="10" l="1"/>
  <c r="C51" i="4"/>
  <c r="C55" i="4"/>
  <c r="B55" i="4"/>
  <c r="C60" i="4"/>
  <c r="B47" i="4"/>
  <c r="B59" i="4"/>
  <c r="B51" i="4"/>
  <c r="B43" i="4"/>
  <c r="C57" i="4"/>
  <c r="C53" i="4"/>
  <c r="B61" i="4"/>
  <c r="B57" i="4"/>
  <c r="B53" i="4"/>
  <c r="B49" i="4"/>
  <c r="B45" i="4"/>
  <c r="B41" i="4"/>
  <c r="D33" i="13"/>
  <c r="C58" i="4"/>
  <c r="C56" i="4"/>
  <c r="C54" i="4"/>
  <c r="C52" i="4"/>
  <c r="C50" i="4"/>
  <c r="C59" i="4"/>
  <c r="C61" i="4"/>
  <c r="B60" i="4"/>
  <c r="B58" i="4"/>
  <c r="B56" i="4"/>
  <c r="B54" i="4"/>
  <c r="B52" i="4"/>
  <c r="B50" i="4"/>
  <c r="B48" i="4"/>
  <c r="B46" i="4"/>
  <c r="B44" i="4"/>
  <c r="B42" i="4"/>
  <c r="D30" i="11"/>
  <c r="D27" i="11" s="1"/>
  <c r="D30" i="12"/>
  <c r="D27" i="12" s="1"/>
  <c r="F28" i="12" l="1"/>
  <c r="D24" i="12"/>
  <c r="F25" i="12" s="1"/>
  <c r="F34" i="13"/>
  <c r="D30" i="13"/>
  <c r="D24" i="11"/>
  <c r="F28" i="11"/>
  <c r="D27" i="4"/>
  <c r="F31" i="11"/>
  <c r="D21" i="12"/>
  <c r="F31" i="12"/>
  <c r="F25" i="11" l="1"/>
  <c r="D21" i="11"/>
  <c r="D27" i="13"/>
  <c r="F31" i="13"/>
  <c r="F28" i="10"/>
  <c r="F25" i="10"/>
  <c r="F28" i="4"/>
  <c r="D24" i="4"/>
  <c r="D21" i="4" s="1"/>
  <c r="I18" i="12"/>
  <c r="J18" i="12" s="1"/>
  <c r="D18" i="12" s="1"/>
  <c r="F22" i="12"/>
  <c r="F28" i="13" l="1"/>
  <c r="D24" i="13"/>
  <c r="F22" i="11"/>
  <c r="I18" i="11"/>
  <c r="J18" i="11" s="1"/>
  <c r="D18" i="11" s="1"/>
  <c r="F25" i="4"/>
  <c r="D18" i="4"/>
  <c r="F22" i="4"/>
  <c r="I15" i="10"/>
  <c r="J15" i="10" s="1"/>
  <c r="D15" i="10" s="1"/>
  <c r="F19" i="12"/>
  <c r="D15" i="12"/>
  <c r="J17" i="12"/>
  <c r="I17" i="12"/>
  <c r="B42" i="12"/>
  <c r="F25" i="13" l="1"/>
  <c r="I21" i="13"/>
  <c r="J21" i="13" s="1"/>
  <c r="D21" i="13" s="1"/>
  <c r="F19" i="11"/>
  <c r="J17" i="11"/>
  <c r="D15" i="11"/>
  <c r="B42" i="11"/>
  <c r="I17" i="11"/>
  <c r="I15" i="4"/>
  <c r="J15" i="4" s="1"/>
  <c r="D15" i="4" s="1"/>
  <c r="F16" i="4" s="1"/>
  <c r="F19" i="4"/>
  <c r="F16" i="10"/>
  <c r="D12" i="10"/>
  <c r="I14" i="10"/>
  <c r="J14" i="10"/>
  <c r="B39" i="10"/>
  <c r="F16" i="12"/>
  <c r="D12" i="12"/>
  <c r="I20" i="13" l="1"/>
  <c r="J20" i="13"/>
  <c r="F22" i="13"/>
  <c r="B43" i="13"/>
  <c r="D18" i="13"/>
  <c r="D12" i="11"/>
  <c r="F16" i="11"/>
  <c r="I14" i="4"/>
  <c r="J14" i="4"/>
  <c r="B37" i="4"/>
  <c r="D12" i="4"/>
  <c r="F13" i="4" s="1"/>
  <c r="D9" i="10"/>
  <c r="F13" i="10"/>
  <c r="F13" i="12"/>
  <c r="D9" i="12"/>
  <c r="D15" i="13" l="1"/>
  <c r="F19" i="13"/>
  <c r="F13" i="11"/>
  <c r="D9" i="11"/>
  <c r="D9" i="4"/>
  <c r="E6" i="4" s="1"/>
  <c r="F10" i="12"/>
  <c r="E6" i="12"/>
  <c r="F10" i="10"/>
  <c r="E6" i="10"/>
  <c r="G8" i="10"/>
  <c r="G8" i="12"/>
  <c r="D12" i="13" l="1"/>
  <c r="F16" i="13"/>
  <c r="F10" i="11"/>
  <c r="E6" i="11"/>
  <c r="G8" i="11"/>
  <c r="F10" i="4"/>
  <c r="G8" i="4"/>
  <c r="D9" i="13" l="1"/>
  <c r="F13" i="13"/>
  <c r="F10" i="13" l="1"/>
  <c r="E6" i="13"/>
  <c r="G8" i="13"/>
</calcChain>
</file>

<file path=xl/sharedStrings.xml><?xml version="1.0" encoding="utf-8"?>
<sst xmlns="http://schemas.openxmlformats.org/spreadsheetml/2006/main" count="227" uniqueCount="78">
  <si>
    <t>Award Date</t>
  </si>
  <si>
    <t>Bid Opening Date</t>
  </si>
  <si>
    <t>Ad Date</t>
  </si>
  <si>
    <t>Arrives in PS&amp;E</t>
  </si>
  <si>
    <t>Notice to Proceed Date</t>
  </si>
  <si>
    <t>Arrives in Contracts Date</t>
  </si>
  <si>
    <t>Proposal Receipt Date</t>
  </si>
  <si>
    <t>Sealed Bid</t>
  </si>
  <si>
    <t>PS&amp;E to Notice to Proceed Calculation</t>
  </si>
  <si>
    <t>End of Negotiation Period Date</t>
  </si>
  <si>
    <t>End of Evaluation Period Date</t>
  </si>
  <si>
    <t>8(a) Sole Source</t>
  </si>
  <si>
    <t>Negotiated (Best Value or IDIQ)</t>
  </si>
  <si>
    <t>Calendar days between Bid opening and award</t>
  </si>
  <si>
    <t>Calendar days between Arrives in contracts and on ad</t>
  </si>
  <si>
    <t>Please Note:</t>
  </si>
  <si>
    <t xml:space="preserve">1. The ad date must be Mon through Fri. </t>
  </si>
  <si>
    <t>3. The award date must be Mon through Fri.</t>
  </si>
  <si>
    <t>Calendar days between negotiation and award</t>
  </si>
  <si>
    <t>Calendar days between Ad date and Proposal Receipt</t>
  </si>
  <si>
    <t>MATOC Task Order with no evaluation factors (price only)</t>
  </si>
  <si>
    <t xml:space="preserve">    (could be less depending on size/complexity of project)</t>
  </si>
  <si>
    <t>MATOC Task Order with evaluation factors</t>
  </si>
  <si>
    <t>Calendar days between evaluation and award</t>
  </si>
  <si>
    <t>Provide a set of plans and specifications for each contract holder to Contracts at PIH stage.  See Contracts for clarification.</t>
  </si>
  <si>
    <t>Provide a set of plans and specifications to Contracts at PIH stage.  See Contracts for clarification.</t>
  </si>
  <si>
    <t xml:space="preserve">   (Assumes no price negotiations are required)</t>
  </si>
  <si>
    <t>New Years Day</t>
  </si>
  <si>
    <t>Martin Luther King Day</t>
  </si>
  <si>
    <t>President's Day</t>
  </si>
  <si>
    <t>Memorial Day</t>
  </si>
  <si>
    <t>Independence Day</t>
  </si>
  <si>
    <t>Labor Day</t>
  </si>
  <si>
    <t>Columbus Day</t>
  </si>
  <si>
    <t>Veteran's Day</t>
  </si>
  <si>
    <t>Thanksgiving</t>
  </si>
  <si>
    <t>Christmas</t>
  </si>
  <si>
    <t>Sun</t>
  </si>
  <si>
    <t>Mon</t>
  </si>
  <si>
    <t>Christmas on</t>
  </si>
  <si>
    <t>Days Added</t>
  </si>
  <si>
    <t>Tues</t>
  </si>
  <si>
    <t>Holiday period</t>
  </si>
  <si>
    <t>Wed</t>
  </si>
  <si>
    <t>Thur</t>
  </si>
  <si>
    <t>Wed 12/24 to Sun 1/4</t>
  </si>
  <si>
    <t>Fri</t>
  </si>
  <si>
    <t>Thur 12/24 to Sun 1/3</t>
  </si>
  <si>
    <t>Sat</t>
  </si>
  <si>
    <t>Fri 12/24 to Sun 1/2</t>
  </si>
  <si>
    <t>Sat 12/21 to Wed 1/1</t>
  </si>
  <si>
    <t>Sat 12/22 to Tues 1/1</t>
  </si>
  <si>
    <t>Sat 12/23 to Mon 1/1</t>
  </si>
  <si>
    <t>Sat 12/24 to Mon 1/2</t>
  </si>
  <si>
    <t xml:space="preserve">It is also preferred to not have a bid opening date between Thanksgiving and the first week of January.  </t>
  </si>
  <si>
    <t xml:space="preserve">2. The bid opening date must be Tue through Fri and cannot be a holiday or the day after a holiday.  </t>
  </si>
  <si>
    <t xml:space="preserve"> &lt;-- Enter Date here</t>
  </si>
  <si>
    <t>^- Adds days</t>
  </si>
  <si>
    <t>^- Weekends/Holiday/Monday check</t>
  </si>
  <si>
    <t>Code</t>
  </si>
  <si>
    <t>Thanksgiving - first week Jan</t>
  </si>
  <si>
    <t>Assumed dates excluded</t>
  </si>
  <si>
    <t xml:space="preserve">2. The proposal receipt date must be Tue through Fri and cannot be a holiday or the day after a holiday.  </t>
  </si>
  <si>
    <t xml:space="preserve">It is also preferred to not have a proposal receipt date between Thanksgiving and the first week of January.  </t>
  </si>
  <si>
    <t>Calendar days between proposal reciept and award</t>
  </si>
  <si>
    <t>Calendar days between proposal receipt and evaluation end</t>
  </si>
  <si>
    <t>Calendar days between proposal receipt and negotiation</t>
  </si>
  <si>
    <t>Calendar days between receipt of proposals and evaluation</t>
  </si>
  <si>
    <t>Calendar days between evaluation and negotiation end</t>
  </si>
  <si>
    <t>&lt;&lt;Project number&gt;&gt;</t>
  </si>
  <si>
    <t>Default Dates</t>
  </si>
  <si>
    <t>Calendar days between award and NTP</t>
  </si>
  <si>
    <t>Requested Notice to Proceed</t>
  </si>
  <si>
    <t>PS&amp;E Comments to PM</t>
  </si>
  <si>
    <t>PS&amp;E Comment Resolution</t>
  </si>
  <si>
    <t>Calendar days between PS&amp;E and comments to PM</t>
  </si>
  <si>
    <t>Calendar days for PS&amp;E comment resolution</t>
  </si>
  <si>
    <t>Calendar days between PS&amp;E comment resolution &amp;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</si>
</sst>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/dd/yy"/>
    <numFmt numFmtId="165" formatCode="\(ddd\)"/>
    <numFmt numFmtId="166" formatCode="General\ &quot;Holidays&quot;"/>
    <numFmt numFmtId="167" formatCode="ddd\ m/d/yyyy"/>
    <numFmt numFmtId="168" formatCode="&quot;for &quot;@"/>
  </numFmts>
  <fonts count="14" x14ac:knownFonts="1"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Comic Sans MS"/>
      <family val="4"/>
    </font>
    <font>
      <i/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333333"/>
      <name val="Arial"/>
      <family val="2"/>
    </font>
    <font>
      <b/>
      <sz val="10"/>
      <color rgb="FFFFFFFF"/>
      <name val="Comic Sans MS"/>
      <family val="4"/>
    </font>
    <font>
      <sz val="10"/>
      <color rgb="FFFFFFFF"/>
      <name val="Comic Sans MS"/>
      <family val="4"/>
    </font>
    <font>
      <sz val="10"/>
      <color rgb="FF0020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3366FF"/>
        <bgColor indexed="9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8"/>
      </left>
      <right style="medium">
        <color indexed="58"/>
      </right>
      <top style="thin">
        <color indexed="58"/>
      </top>
      <bottom style="medium">
        <color indexed="5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rgb="FF333333"/>
      </bottom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/>
      <right/>
      <top style="thin">
        <color indexed="48"/>
      </top>
      <bottom style="hair">
        <color indexed="48"/>
      </bottom>
      <diagonal/>
    </border>
    <border>
      <left/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</borders>
  <cellStyleXfs count="1">
    <xf numFmtId="0" fontId="0" fillId="2" borderId="0"/>
  </cellStyleXfs>
  <cellXfs count="77">
    <xf numFmtId="0" fontId="0" fillId="2" borderId="0" xfId="0"/>
    <xf numFmtId="0" fontId="0" fillId="2" borderId="0" xfId="0" applyAlignment="1" applyProtection="1">
      <alignment horizontal="right"/>
    </xf>
    <xf numFmtId="164" fontId="2" fillId="0" borderId="1" xfId="0" applyNumberFormat="1" applyFont="1" applyFill="1" applyBorder="1" applyAlignment="1" applyProtection="1">
      <alignment horizontal="center"/>
    </xf>
    <xf numFmtId="0" fontId="0" fillId="2" borderId="0" xfId="0" applyProtection="1"/>
    <xf numFmtId="0" fontId="1" fillId="2" borderId="0" xfId="0" applyFont="1" applyProtection="1"/>
    <xf numFmtId="165" fontId="2" fillId="0" borderId="0" xfId="0" applyNumberFormat="1" applyFont="1" applyFill="1" applyBorder="1" applyAlignment="1" applyProtection="1">
      <alignment horizontal="left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165" fontId="2" fillId="0" borderId="0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  <xf numFmtId="164" fontId="0" fillId="0" borderId="1" xfId="0" applyNumberFormat="1" applyFill="1" applyBorder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left" indent="1"/>
    </xf>
    <xf numFmtId="164" fontId="0" fillId="0" borderId="0" xfId="0" applyNumberFormat="1" applyFill="1" applyBorder="1" applyProtection="1"/>
    <xf numFmtId="0" fontId="0" fillId="0" borderId="0" xfId="0" applyFill="1" applyBorder="1" applyProtection="1">
      <protection locked="0"/>
    </xf>
    <xf numFmtId="0" fontId="8" fillId="0" borderId="1" xfId="0" applyFont="1" applyFill="1" applyBorder="1" applyAlignment="1" applyProtection="1">
      <alignment horizontal="left" indent="3"/>
    </xf>
    <xf numFmtId="0" fontId="4" fillId="0" borderId="0" xfId="0" applyFont="1" applyFill="1" applyBorder="1" applyAlignment="1" applyProtection="1">
      <alignment horizontal="left" indent="1"/>
    </xf>
    <xf numFmtId="0" fontId="2" fillId="0" borderId="0" xfId="0" applyFont="1" applyFill="1" applyAlignment="1" applyProtection="1">
      <alignment horizontal="left" indent="1"/>
    </xf>
    <xf numFmtId="0" fontId="0" fillId="0" borderId="0" xfId="0" applyFill="1" applyAlignment="1" applyProtection="1">
      <alignment horizontal="left" indent="1"/>
    </xf>
    <xf numFmtId="0" fontId="0" fillId="0" borderId="0" xfId="0" applyFill="1" applyProtection="1"/>
    <xf numFmtId="0" fontId="5" fillId="0" borderId="0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/>
    </xf>
    <xf numFmtId="164" fontId="0" fillId="0" borderId="0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7" fillId="0" borderId="0" xfId="0" applyFont="1" applyFill="1" applyBorder="1" applyProtection="1"/>
    <xf numFmtId="14" fontId="0" fillId="2" borderId="0" xfId="0" applyNumberFormat="1" applyProtection="1"/>
    <xf numFmtId="167" fontId="0" fillId="4" borderId="3" xfId="0" applyNumberFormat="1" applyFill="1" applyBorder="1" applyAlignment="1" applyProtection="1">
      <alignment horizontal="center"/>
    </xf>
    <xf numFmtId="167" fontId="0" fillId="2" borderId="0" xfId="0" quotePrefix="1" applyNumberFormat="1" applyProtection="1"/>
    <xf numFmtId="167" fontId="0" fillId="0" borderId="0" xfId="0" applyNumberFormat="1" applyFill="1" applyAlignment="1" applyProtection="1">
      <alignment horizontal="center"/>
    </xf>
    <xf numFmtId="167" fontId="0" fillId="2" borderId="0" xfId="0" applyNumberFormat="1" applyProtection="1"/>
    <xf numFmtId="167" fontId="0" fillId="0" borderId="0" xfId="0" quotePrefix="1" applyNumberFormat="1" applyFill="1" applyAlignment="1" applyProtection="1">
      <alignment horizontal="center"/>
    </xf>
    <xf numFmtId="0" fontId="0" fillId="2" borderId="0" xfId="0" quotePrefix="1" applyProtection="1"/>
    <xf numFmtId="16" fontId="0" fillId="2" borderId="0" xfId="0" applyNumberFormat="1" applyProtection="1"/>
    <xf numFmtId="0" fontId="9" fillId="2" borderId="0" xfId="0" applyFont="1" applyAlignment="1" applyProtection="1">
      <alignment horizontal="right"/>
    </xf>
    <xf numFmtId="0" fontId="9" fillId="2" borderId="0" xfId="0" applyFon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2" borderId="0" xfId="0" applyFont="1" applyAlignment="1" applyProtection="1">
      <alignment horizontal="left"/>
    </xf>
    <xf numFmtId="0" fontId="8" fillId="0" borderId="0" xfId="0" applyFont="1" applyFill="1" applyBorder="1" applyAlignment="1" applyProtection="1">
      <alignment horizontal="left" indent="3"/>
    </xf>
    <xf numFmtId="14" fontId="0" fillId="0" borderId="1" xfId="0" applyNumberFormat="1" applyFill="1" applyBorder="1" applyProtection="1"/>
    <xf numFmtId="167" fontId="0" fillId="4" borderId="7" xfId="0" applyNumberForma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2" borderId="0" xfId="0" applyNumberFormat="1"/>
    <xf numFmtId="0" fontId="10" fillId="5" borderId="0" xfId="0" applyFont="1" applyFill="1" applyAlignment="1" applyProtection="1">
      <alignment horizontal="center"/>
    </xf>
    <xf numFmtId="167" fontId="10" fillId="5" borderId="4" xfId="0" applyNumberFormat="1" applyFont="1" applyFill="1" applyBorder="1" applyAlignment="1" applyProtection="1">
      <alignment horizontal="center"/>
    </xf>
    <xf numFmtId="167" fontId="10" fillId="5" borderId="5" xfId="0" applyNumberFormat="1" applyFont="1" applyFill="1" applyBorder="1" applyAlignment="1" applyProtection="1">
      <alignment horizontal="center"/>
    </xf>
    <xf numFmtId="0" fontId="10" fillId="5" borderId="6" xfId="0" applyFont="1" applyFill="1" applyBorder="1" applyProtection="1"/>
    <xf numFmtId="167" fontId="10" fillId="5" borderId="0" xfId="0" applyNumberFormat="1" applyFont="1" applyFill="1" applyAlignment="1" applyProtection="1">
      <alignment horizontal="center"/>
    </xf>
    <xf numFmtId="167" fontId="10" fillId="5" borderId="0" xfId="0" quotePrefix="1" applyNumberFormat="1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left" indent="2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10" fillId="5" borderId="0" xfId="0" applyFont="1" applyFill="1" applyProtection="1"/>
    <xf numFmtId="14" fontId="6" fillId="6" borderId="9" xfId="0" applyNumberFormat="1" applyFont="1" applyFill="1" applyBorder="1" applyAlignment="1" applyProtection="1">
      <alignment horizontal="center"/>
    </xf>
    <xf numFmtId="0" fontId="6" fillId="6" borderId="10" xfId="0" applyFont="1" applyFill="1" applyBorder="1" applyProtection="1"/>
    <xf numFmtId="0" fontId="6" fillId="6" borderId="11" xfId="0" applyFont="1" applyFill="1" applyBorder="1" applyProtection="1"/>
    <xf numFmtId="14" fontId="6" fillId="6" borderId="12" xfId="0" applyNumberFormat="1" applyFont="1" applyFill="1" applyBorder="1" applyAlignment="1" applyProtection="1">
      <alignment horizontal="center"/>
    </xf>
    <xf numFmtId="0" fontId="6" fillId="6" borderId="13" xfId="0" applyFont="1" applyFill="1" applyBorder="1" applyProtection="1"/>
    <xf numFmtId="0" fontId="6" fillId="6" borderId="14" xfId="0" applyFont="1" applyFill="1" applyBorder="1" applyProtection="1"/>
    <xf numFmtId="14" fontId="6" fillId="6" borderId="15" xfId="0" applyNumberFormat="1" applyFont="1" applyFill="1" applyBorder="1" applyAlignment="1" applyProtection="1">
      <alignment horizontal="center"/>
    </xf>
    <xf numFmtId="0" fontId="6" fillId="6" borderId="16" xfId="0" applyFont="1" applyFill="1" applyBorder="1" applyProtection="1"/>
    <xf numFmtId="0" fontId="6" fillId="6" borderId="17" xfId="0" applyFont="1" applyFill="1" applyBorder="1" applyProtection="1"/>
    <xf numFmtId="166" fontId="11" fillId="7" borderId="18" xfId="0" applyNumberFormat="1" applyFont="1" applyFill="1" applyBorder="1" applyAlignment="1" applyProtection="1">
      <alignment horizontal="centerContinuous"/>
    </xf>
    <xf numFmtId="0" fontId="12" fillId="8" borderId="18" xfId="0" applyFont="1" applyFill="1" applyBorder="1" applyAlignment="1" applyProtection="1">
      <alignment horizontal="centerContinuous"/>
    </xf>
    <xf numFmtId="0" fontId="11" fillId="7" borderId="18" xfId="0" applyFont="1" applyFill="1" applyBorder="1" applyAlignment="1" applyProtection="1">
      <alignment horizontal="centerContinuous"/>
    </xf>
    <xf numFmtId="167" fontId="2" fillId="9" borderId="19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Protection="1"/>
    <xf numFmtId="0" fontId="0" fillId="5" borderId="0" xfId="0" applyFill="1" applyBorder="1" applyAlignment="1">
      <alignment horizontal="center"/>
    </xf>
    <xf numFmtId="0" fontId="2" fillId="0" borderId="0" xfId="0" applyFont="1" applyFill="1" applyAlignment="1" applyProtection="1">
      <alignment horizontal="left" wrapText="1" indent="1"/>
    </xf>
    <xf numFmtId="0" fontId="2" fillId="0" borderId="0" xfId="0" applyFont="1" applyFill="1" applyAlignment="1" applyProtection="1">
      <alignment horizontal="left" vertical="top" wrapText="1" indent="1"/>
    </xf>
    <xf numFmtId="0" fontId="0" fillId="0" borderId="0" xfId="0" applyFill="1" applyAlignment="1" applyProtection="1">
      <alignment horizontal="left" vertical="top" wrapText="1" indent="1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 indent="1"/>
    </xf>
    <xf numFmtId="168" fontId="1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106"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ill>
        <patternFill>
          <bgColor indexed="47"/>
        </patternFill>
      </fill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9" defaultPivotStyle="PivotStyleLight16"/>
  <colors>
    <mruColors>
      <color rgb="FF3366FF"/>
      <color rgb="FFFFFF99"/>
      <color rgb="FFFFFFFF"/>
      <color rgb="FFCCFF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1"/>
  <sheetViews>
    <sheetView showGridLines="0" tabSelected="1" topLeftCell="B1" zoomScale="110" zoomScaleNormal="110" workbookViewId="0">
      <selection activeCell="B4" sqref="B4:G4"/>
    </sheetView>
  </sheetViews>
  <sheetFormatPr defaultColWidth="9.7109375" defaultRowHeight="12.75" x14ac:dyDescent="0.2"/>
  <cols>
    <col min="1" max="1" width="3.7109375" style="3" customWidth="1"/>
    <col min="2" max="2" width="16.7109375" style="3" customWidth="1"/>
    <col min="3" max="3" width="21.7109375" style="3" customWidth="1"/>
    <col min="4" max="4" width="14.7109375" style="3" customWidth="1"/>
    <col min="5" max="6" width="6.7109375" style="3" customWidth="1"/>
    <col min="7" max="7" width="50.7109375" style="3" customWidth="1"/>
    <col min="8" max="8" width="9.7109375" style="3" hidden="1" customWidth="1"/>
    <col min="9" max="10" width="14.7109375" style="3" hidden="1" customWidth="1"/>
    <col min="11" max="11" width="24.7109375" style="3" hidden="1" customWidth="1"/>
    <col min="12" max="16384" width="9.7109375" style="3"/>
  </cols>
  <sheetData>
    <row r="2" spans="2:11" ht="23.25" x14ac:dyDescent="0.35">
      <c r="B2" s="74" t="s">
        <v>7</v>
      </c>
      <c r="C2" s="74"/>
      <c r="D2" s="74"/>
      <c r="E2" s="74"/>
      <c r="F2" s="74"/>
      <c r="G2" s="74"/>
    </row>
    <row r="3" spans="2:11" ht="23.25" x14ac:dyDescent="0.35">
      <c r="B3" s="74" t="s">
        <v>8</v>
      </c>
      <c r="C3" s="74"/>
      <c r="D3" s="74"/>
      <c r="E3" s="74"/>
      <c r="F3" s="74"/>
      <c r="G3" s="74"/>
      <c r="H3" s="4"/>
    </row>
    <row r="4" spans="2:11" ht="23.25" customHeight="1" x14ac:dyDescent="0.35">
      <c r="B4" s="76" t="s">
        <v>69</v>
      </c>
      <c r="C4" s="76"/>
      <c r="D4" s="76"/>
      <c r="E4" s="76"/>
      <c r="F4" s="76"/>
      <c r="G4" s="76"/>
      <c r="H4" s="53" t="s">
        <v>70</v>
      </c>
      <c r="I4"/>
      <c r="J4"/>
      <c r="K4"/>
    </row>
    <row r="5" spans="2:11" ht="12.75" customHeight="1" x14ac:dyDescent="0.2">
      <c r="B5" s="12"/>
      <c r="C5" s="12"/>
      <c r="D5" s="25"/>
      <c r="E5" s="13"/>
      <c r="F5" s="13"/>
      <c r="G5" s="21"/>
      <c r="H5" s="53"/>
      <c r="I5"/>
      <c r="J5"/>
      <c r="K5"/>
    </row>
    <row r="6" spans="2:11" ht="16.5" customHeight="1" thickBot="1" x14ac:dyDescent="0.25">
      <c r="B6" s="14" t="s">
        <v>72</v>
      </c>
      <c r="C6" s="12"/>
      <c r="D6" s="68"/>
      <c r="E6" s="69" t="str">
        <f>"  &lt;-- "&amp;IF(AND($D$6&gt;0,$D$9&gt;$D$6),"Date cannot be prior to calculated NTP date","Optional desired NTP date")</f>
        <v xml:space="preserve">  &lt;-- Optional desired NTP date</v>
      </c>
      <c r="F6" s="13"/>
      <c r="G6" s="13"/>
      <c r="H6" s="53"/>
      <c r="I6"/>
      <c r="J6"/>
      <c r="K6"/>
    </row>
    <row r="7" spans="2:11" ht="12.75" customHeight="1" x14ac:dyDescent="0.2">
      <c r="B7" s="8"/>
      <c r="C7" s="8"/>
      <c r="D7" s="26"/>
      <c r="E7" s="10"/>
      <c r="F7" s="10"/>
      <c r="G7" s="10"/>
      <c r="H7" s="53"/>
      <c r="I7"/>
      <c r="J7"/>
      <c r="K7"/>
    </row>
    <row r="8" spans="2:11" x14ac:dyDescent="0.2">
      <c r="B8" s="12"/>
      <c r="C8" s="12"/>
      <c r="D8" s="13"/>
      <c r="E8" s="13"/>
      <c r="F8" s="13"/>
      <c r="G8" s="27" t="str">
        <f>IF(D9&gt;MAX(Holidays),"Warning! Last date beyond last calculated holiday.","")</f>
        <v/>
      </c>
      <c r="H8" s="52"/>
      <c r="I8"/>
      <c r="J8"/>
      <c r="K8"/>
    </row>
    <row r="9" spans="2:11" ht="13.5" thickBot="1" x14ac:dyDescent="0.25">
      <c r="B9" s="14" t="s">
        <v>4</v>
      </c>
      <c r="C9" s="23"/>
      <c r="D9" s="29">
        <f>WORKDAY(D12+F9,IF(OR(WEEKDAY(D12+F9,2)&gt;5,ISNUMBER(MATCH(D12+F9,Holidays,0))),1,0),Holidays)</f>
        <v>44365</v>
      </c>
      <c r="E9" s="13"/>
      <c r="F9" s="16">
        <f>3*7</f>
        <v>21</v>
      </c>
      <c r="G9" s="43" t="s">
        <v>71</v>
      </c>
      <c r="H9" s="52">
        <f>3*7</f>
        <v>21</v>
      </c>
      <c r="I9"/>
      <c r="J9"/>
      <c r="K9"/>
    </row>
    <row r="10" spans="2:11" x14ac:dyDescent="0.2">
      <c r="B10" s="8"/>
      <c r="C10" s="24"/>
      <c r="D10" s="2"/>
      <c r="E10" s="10"/>
      <c r="F10" s="17" t="str">
        <f>IF(F9&lt;&gt;H9,"Standard "&amp;H9&amp;" days has been changed.  ","")&amp;IF(D9-D12&lt;&gt;F9,"("&amp;D9-D12&amp;" days used)","")</f>
        <v/>
      </c>
      <c r="G10" s="10"/>
      <c r="H10" s="54"/>
      <c r="I10"/>
      <c r="J10"/>
      <c r="K10"/>
    </row>
    <row r="11" spans="2:11" x14ac:dyDescent="0.2">
      <c r="B11" s="12"/>
      <c r="C11" s="12"/>
      <c r="D11" s="25"/>
      <c r="E11" s="13"/>
      <c r="F11" s="13"/>
      <c r="G11" s="21"/>
      <c r="H11" s="52"/>
      <c r="I11"/>
      <c r="J11"/>
      <c r="K11"/>
    </row>
    <row r="12" spans="2:11" x14ac:dyDescent="0.2">
      <c r="B12" s="14" t="s">
        <v>0</v>
      </c>
      <c r="C12" s="12"/>
      <c r="D12" s="31">
        <f>WORKDAY(D15+F12,IF(OR(WEEKDAY(D15+F12,2)&gt;5,ISNUMBER(MATCH(D15+F12,Holidays,0))),1,0),Holidays)</f>
        <v>44344</v>
      </c>
      <c r="E12" s="15"/>
      <c r="F12" s="16">
        <v>30</v>
      </c>
      <c r="G12" s="13" t="s">
        <v>13</v>
      </c>
      <c r="H12" s="52">
        <v>30</v>
      </c>
      <c r="I12"/>
      <c r="J12"/>
      <c r="K12"/>
    </row>
    <row r="13" spans="2:11" x14ac:dyDescent="0.2">
      <c r="B13" s="8"/>
      <c r="C13" s="8"/>
      <c r="D13" s="26"/>
      <c r="E13" s="10"/>
      <c r="F13" s="17" t="str">
        <f>IF(F12&lt;&gt;H12,"Standard "&amp;H12&amp;" days has been changed.  ","")&amp;IF(D12-D15&lt;&gt;F12,"("&amp;D12-D15&amp;" days used)","")</f>
        <v/>
      </c>
      <c r="G13" s="10"/>
      <c r="H13" s="54"/>
      <c r="I13"/>
      <c r="J13"/>
      <c r="K13"/>
    </row>
    <row r="14" spans="2:11" x14ac:dyDescent="0.2">
      <c r="B14" s="12"/>
      <c r="C14" s="12"/>
      <c r="D14" s="25"/>
      <c r="E14" s="13"/>
      <c r="F14" s="13"/>
      <c r="G14" s="21"/>
      <c r="H14" s="52"/>
      <c r="I14" s="46">
        <f>INDEX(Holidays,MATCH(DATE(YEAR(D15),12,1),Holidays))</f>
        <v>44525</v>
      </c>
      <c r="J14" s="47">
        <f>WORKDAY(DATE(YEAR(D15),12,31),VLOOKUP(WEEKDAY(DATE(YEAR(D15),12,25)),Christmas,3,0),Holidays)-1</f>
        <v>44563</v>
      </c>
      <c r="K14" s="48" t="s">
        <v>60</v>
      </c>
    </row>
    <row r="15" spans="2:11" x14ac:dyDescent="0.2">
      <c r="B15" s="14" t="s">
        <v>1</v>
      </c>
      <c r="C15" s="12"/>
      <c r="D15" s="33">
        <f>WORKDAY(J15,IF(J15-INDEX(Holidays,MATCH(J15,Holidays))&lt;2,1,0),Holidays)</f>
        <v>44314</v>
      </c>
      <c r="E15" s="15"/>
      <c r="F15" s="16">
        <v>30</v>
      </c>
      <c r="G15" s="13" t="str">
        <f>"Calendar days between Ad date and bid opening"</f>
        <v>Calendar days between Ad date and bid opening</v>
      </c>
      <c r="H15" s="52">
        <f>30</f>
        <v>30</v>
      </c>
      <c r="I15" s="49">
        <f>D18+F15+IF(WORKDAY(DATE(YEAR(D18),12,24),-1,Holidays)-D18&lt;F15,VLOOKUP(WEEKDAY(DATE(YEAR(D18),12,25)),Christmas,2,0),0)</f>
        <v>44314</v>
      </c>
      <c r="J15" s="50">
        <f>WORKDAY(I15,IF(AND(WEEKDAY(I15,2)=4,ISNUMBER(MATCH(I15,Holidays,0))),3,IF(OR(AND(WEEKDAY(I15,2)=5,ISNUMBER(MATCH(I15,Holidays,0))),WEEKDAY(I15,2)&gt;5),2,IF(OR(WEEKDAY(I15,2)=1,ISNUMBER(MATCH(I15,Holidays,0))),1,0))),Holidays)</f>
        <v>44314</v>
      </c>
      <c r="K15" s="55"/>
    </row>
    <row r="16" spans="2:11" x14ac:dyDescent="0.2">
      <c r="B16" s="8"/>
      <c r="C16" s="8"/>
      <c r="D16" s="26"/>
      <c r="E16" s="11"/>
      <c r="F16" s="17" t="str">
        <f>IF(F15&lt;&gt;H15,"Standard "&amp;H15&amp;" days"&amp;" has been changed.  ","")&amp;IF(D15-D18&lt;&gt;F15,"("&amp;D15-D18&amp;" days used)","")</f>
        <v/>
      </c>
      <c r="G16" s="10"/>
      <c r="H16" s="54"/>
      <c r="I16" s="45" t="s">
        <v>57</v>
      </c>
      <c r="J16" s="51" t="s">
        <v>58</v>
      </c>
      <c r="K16" s="55"/>
    </row>
    <row r="17" spans="2:11" x14ac:dyDescent="0.2">
      <c r="B17" s="12"/>
      <c r="C17" s="12"/>
      <c r="D17" s="25"/>
      <c r="E17" s="13"/>
      <c r="F17" s="13"/>
      <c r="G17" s="21"/>
      <c r="H17" s="52"/>
      <c r="I17"/>
      <c r="J17"/>
      <c r="K17"/>
    </row>
    <row r="18" spans="2:11" x14ac:dyDescent="0.2">
      <c r="B18" s="14" t="s">
        <v>2</v>
      </c>
      <c r="C18" s="12"/>
      <c r="D18" s="31">
        <f>WORKDAY(D21+F18,IF(OR(WEEKDAY(D21+F18,2)&gt;5,ISNUMBER(MATCH(D21+F18,Holidays,0))),1,0),Holidays)</f>
        <v>44284</v>
      </c>
      <c r="E18" s="15"/>
      <c r="F18" s="16">
        <f>2*7</f>
        <v>14</v>
      </c>
      <c r="G18" s="13" t="s">
        <v>14</v>
      </c>
      <c r="H18" s="52">
        <f>2*7</f>
        <v>14</v>
      </c>
      <c r="I18"/>
      <c r="J18"/>
      <c r="K18"/>
    </row>
    <row r="19" spans="2:11" x14ac:dyDescent="0.2">
      <c r="B19" s="8"/>
      <c r="C19" s="8"/>
      <c r="D19" s="26"/>
      <c r="E19" s="11"/>
      <c r="F19" s="17" t="str">
        <f>IF(F18&lt;&gt;H18,"Standard "&amp;H18&amp;" days has been changed.  ","")&amp;IF(D18-D21&lt;&gt;F18,"("&amp;D18-D27&amp;" days used)","")</f>
        <v/>
      </c>
      <c r="G19" s="10"/>
      <c r="H19" s="54"/>
      <c r="I19"/>
      <c r="J19"/>
      <c r="K19"/>
    </row>
    <row r="20" spans="2:11" x14ac:dyDescent="0.2">
      <c r="B20" s="12"/>
      <c r="C20" s="12"/>
      <c r="D20" s="25"/>
      <c r="E20" s="15"/>
      <c r="F20" s="15"/>
      <c r="G20" s="21"/>
      <c r="H20" s="52"/>
      <c r="I20"/>
      <c r="J20"/>
      <c r="K20"/>
    </row>
    <row r="21" spans="2:11" x14ac:dyDescent="0.2">
      <c r="B21" s="14" t="s">
        <v>5</v>
      </c>
      <c r="C21" s="12"/>
      <c r="D21" s="31">
        <f>WORKDAY(D24+F21,IF(OR(WEEKDAY(D24+F21,2)&gt;5,ISNUMBER(MATCH(D24+F21,Holidays,0))),1,0),Holidays)</f>
        <v>44270</v>
      </c>
      <c r="E21" s="15"/>
      <c r="F21" s="16">
        <v>0</v>
      </c>
      <c r="G21" s="13" t="s">
        <v>77</v>
      </c>
      <c r="H21" s="52">
        <v>0</v>
      </c>
      <c r="I21"/>
      <c r="J21"/>
      <c r="K21"/>
    </row>
    <row r="22" spans="2:11" x14ac:dyDescent="0.2">
      <c r="B22" s="8"/>
      <c r="C22" s="8"/>
      <c r="D22" s="26"/>
      <c r="E22" s="11"/>
      <c r="F22" s="17" t="str">
        <f>IF(F21&lt;&gt;H21,"Standard "&amp;H21&amp;" days has been changed.  ","")&amp;IF(D21-D24&lt;&gt;F21,"("&amp;D21-D24&amp;" days used)","")</f>
        <v/>
      </c>
      <c r="G22" s="10"/>
      <c r="H22" s="54"/>
      <c r="I22"/>
      <c r="J22"/>
      <c r="K22"/>
    </row>
    <row r="23" spans="2:11" x14ac:dyDescent="0.2">
      <c r="B23" s="12"/>
      <c r="C23" s="12"/>
      <c r="D23" s="25"/>
      <c r="E23" s="15"/>
      <c r="F23" s="15"/>
      <c r="G23" s="21"/>
      <c r="H23" s="52"/>
      <c r="I23"/>
      <c r="J23"/>
      <c r="K23"/>
    </row>
    <row r="24" spans="2:11" x14ac:dyDescent="0.2">
      <c r="B24" s="14" t="s">
        <v>74</v>
      </c>
      <c r="C24" s="12"/>
      <c r="D24" s="31">
        <f>WORKDAY(D27+F24,IF(OR(WEEKDAY(D27+F24,2)&gt;5,ISNUMBER(MATCH(D27+F24,Holidays,0))),1,0),Holidays)</f>
        <v>44270</v>
      </c>
      <c r="E24" s="15"/>
      <c r="F24" s="16">
        <v>7</v>
      </c>
      <c r="G24" s="13" t="s">
        <v>76</v>
      </c>
      <c r="H24" s="52">
        <v>7</v>
      </c>
      <c r="I24"/>
      <c r="J24"/>
      <c r="K24"/>
    </row>
    <row r="25" spans="2:11" x14ac:dyDescent="0.2">
      <c r="B25" s="8"/>
      <c r="C25" s="8"/>
      <c r="D25" s="26"/>
      <c r="E25" s="11"/>
      <c r="F25" s="17" t="str">
        <f>IF(F24&lt;&gt;H24,"Standard "&amp;H24&amp;" days has been changed.  ","")&amp;IF(D24-D27&lt;&gt;F24,"("&amp;D24-D27&amp;" days used)","")</f>
        <v/>
      </c>
      <c r="G25" s="10"/>
      <c r="H25" s="54"/>
      <c r="I25"/>
      <c r="J25"/>
      <c r="K25"/>
    </row>
    <row r="26" spans="2:11" x14ac:dyDescent="0.2">
      <c r="B26" s="12"/>
      <c r="C26" s="12"/>
      <c r="D26" s="25"/>
      <c r="E26" s="15"/>
      <c r="F26" s="15"/>
      <c r="G26" s="21"/>
      <c r="H26" s="52"/>
      <c r="I26"/>
      <c r="J26"/>
      <c r="K26"/>
    </row>
    <row r="27" spans="2:11" x14ac:dyDescent="0.2">
      <c r="B27" s="14" t="s">
        <v>73</v>
      </c>
      <c r="C27" s="12"/>
      <c r="D27" s="31">
        <f>WORKDAY(Arrives+F27,IF(OR(WEEKDAY(Arrives+F27,2)&gt;5,ISNUMBER(MATCH(Arrives+F27,Holidays,0))),1,0),Holidays)</f>
        <v>44263</v>
      </c>
      <c r="E27" s="15"/>
      <c r="F27" s="16">
        <v>7</v>
      </c>
      <c r="G27" s="13" t="s">
        <v>75</v>
      </c>
      <c r="H27" s="52">
        <v>7</v>
      </c>
      <c r="I27"/>
      <c r="J27"/>
      <c r="K27"/>
    </row>
    <row r="28" spans="2:11" x14ac:dyDescent="0.2">
      <c r="B28" s="8"/>
      <c r="C28" s="8"/>
      <c r="D28" s="26"/>
      <c r="E28" s="11"/>
      <c r="F28" s="17" t="str">
        <f>IF(F27&lt;&gt;H27,"Standard "&amp;H27&amp;" days has been changed.  ","")&amp;IF(D27-D30&lt;&gt;F27,"("&amp;D27-D30&amp;" days used)","")</f>
        <v/>
      </c>
      <c r="G28" s="10"/>
      <c r="H28" s="54"/>
      <c r="I28"/>
      <c r="J28"/>
      <c r="K28"/>
    </row>
    <row r="29" spans="2:11" x14ac:dyDescent="0.2">
      <c r="B29" s="12"/>
      <c r="C29" s="12"/>
      <c r="D29" s="25"/>
      <c r="E29" s="15"/>
      <c r="F29" s="15"/>
      <c r="G29" s="21"/>
    </row>
    <row r="30" spans="2:11" ht="16.5" thickBot="1" x14ac:dyDescent="0.3">
      <c r="B30" s="14" t="s">
        <v>3</v>
      </c>
      <c r="C30" s="7">
        <f>Arrives</f>
        <v>44256</v>
      </c>
      <c r="D30" s="6">
        <v>44256</v>
      </c>
      <c r="E30" s="22" t="s">
        <v>56</v>
      </c>
      <c r="F30" s="5"/>
      <c r="G30" s="5"/>
      <c r="I30" s="44"/>
      <c r="J30"/>
    </row>
    <row r="31" spans="2:11" x14ac:dyDescent="0.2">
      <c r="B31" s="8"/>
      <c r="C31" s="9"/>
      <c r="D31" s="10"/>
      <c r="E31" s="11"/>
      <c r="F31" s="11"/>
      <c r="G31" s="10"/>
    </row>
    <row r="32" spans="2:11" x14ac:dyDescent="0.2">
      <c r="B32" s="14"/>
      <c r="C32" s="12"/>
      <c r="D32" s="13"/>
      <c r="E32" s="13"/>
      <c r="F32" s="40"/>
      <c r="G32" s="13"/>
    </row>
    <row r="33" spans="2:11" ht="15.75" x14ac:dyDescent="0.25">
      <c r="B33" s="18" t="s">
        <v>15</v>
      </c>
      <c r="C33" s="13"/>
      <c r="D33" s="13"/>
      <c r="E33" s="13"/>
      <c r="F33" s="13"/>
      <c r="G33" s="13"/>
    </row>
    <row r="34" spans="2:11" ht="12.75" customHeight="1" x14ac:dyDescent="0.2">
      <c r="B34" s="75" t="s">
        <v>16</v>
      </c>
      <c r="C34" s="75"/>
      <c r="D34" s="75"/>
      <c r="E34" s="75"/>
      <c r="F34" s="75"/>
      <c r="G34" s="75"/>
    </row>
    <row r="35" spans="2:11" x14ac:dyDescent="0.2">
      <c r="B35" s="71" t="s">
        <v>55</v>
      </c>
      <c r="C35" s="75"/>
      <c r="D35" s="75"/>
      <c r="E35" s="75"/>
      <c r="F35" s="75"/>
      <c r="G35" s="75"/>
    </row>
    <row r="36" spans="2:11" ht="12.75" customHeight="1" x14ac:dyDescent="0.2">
      <c r="B36" s="71" t="s">
        <v>54</v>
      </c>
      <c r="C36" s="71"/>
      <c r="D36" s="71"/>
      <c r="E36" s="71"/>
      <c r="F36" s="71"/>
      <c r="G36" s="71"/>
      <c r="I36" s="35"/>
    </row>
    <row r="37" spans="2:11" ht="25.5" customHeight="1" x14ac:dyDescent="0.2">
      <c r="B37" s="72" t="str">
        <f>"If the advertisement period includes the Christmas/New Year Holiday period, 7 to 14 days will need to be added to the advertisement period"&amp;IF(YEAR(D15)&lt;&gt;YEAR(D18)," ("&amp;D15-D18-F15&amp;" days were added for holiday period)","")&amp;"."</f>
        <v>If the advertisement period includes the Christmas/New Year Holiday period, 7 to 14 days will need to be added to the advertisement period.</v>
      </c>
      <c r="C37" s="73"/>
      <c r="D37" s="73"/>
      <c r="E37" s="73"/>
      <c r="F37" s="73"/>
      <c r="G37" s="73"/>
      <c r="I37" s="35"/>
    </row>
    <row r="38" spans="2:11" x14ac:dyDescent="0.2">
      <c r="B38" s="19" t="s">
        <v>17</v>
      </c>
      <c r="C38" s="20"/>
      <c r="D38" s="20"/>
      <c r="E38" s="20"/>
      <c r="F38" s="20"/>
      <c r="G38" s="20"/>
    </row>
    <row r="39" spans="2:11" ht="16.5" hidden="1" x14ac:dyDescent="0.35">
      <c r="B39" s="65">
        <f>YEAR(Arrives)</f>
        <v>2021</v>
      </c>
      <c r="C39" s="66"/>
      <c r="D39" s="67"/>
    </row>
    <row r="40" spans="2:11" ht="15" hidden="1" x14ac:dyDescent="0.3">
      <c r="B40" s="56">
        <f>DATE(Year,1,1)+IF(WEEKDAY(DATE(Year,1,1),2)&lt;6,0,IF(WEEKDAY(DATE(Year,1,1),2)=6,-1,1))</f>
        <v>44197</v>
      </c>
      <c r="C40" s="57" t="s">
        <v>27</v>
      </c>
      <c r="D40" s="58"/>
      <c r="G40" s="36" t="s">
        <v>39</v>
      </c>
      <c r="H40" s="37" t="s">
        <v>59</v>
      </c>
      <c r="I40" s="37" t="s">
        <v>40</v>
      </c>
      <c r="J40" s="37" t="s">
        <v>42</v>
      </c>
      <c r="K40" s="39" t="s">
        <v>61</v>
      </c>
    </row>
    <row r="41" spans="2:11" ht="15" hidden="1" x14ac:dyDescent="0.3">
      <c r="B41" s="59">
        <f>DATE(Year,1,21)-WEEKDAY(DATE(Year,1,21),3)</f>
        <v>44214</v>
      </c>
      <c r="C41" s="60" t="s">
        <v>28</v>
      </c>
      <c r="D41" s="61"/>
      <c r="G41" s="1" t="s">
        <v>37</v>
      </c>
      <c r="H41" s="38">
        <v>1</v>
      </c>
      <c r="I41" s="38">
        <v>10</v>
      </c>
      <c r="J41" s="38">
        <v>1</v>
      </c>
      <c r="K41" s="3" t="s">
        <v>53</v>
      </c>
    </row>
    <row r="42" spans="2:11" ht="15" hidden="1" x14ac:dyDescent="0.3">
      <c r="B42" s="59">
        <f>DATE(Year,2,21)-WEEKDAY(DATE(Year,2,21),3)</f>
        <v>44242</v>
      </c>
      <c r="C42" s="60" t="s">
        <v>29</v>
      </c>
      <c r="D42" s="61"/>
      <c r="G42" s="1" t="s">
        <v>38</v>
      </c>
      <c r="H42" s="38">
        <v>2</v>
      </c>
      <c r="I42" s="38">
        <v>10</v>
      </c>
      <c r="J42" s="38">
        <v>1</v>
      </c>
      <c r="K42" s="3" t="s">
        <v>52</v>
      </c>
    </row>
    <row r="43" spans="2:11" ht="15" hidden="1" x14ac:dyDescent="0.3">
      <c r="B43" s="59">
        <f>DATE(Year,5,31)-WEEKDAY(DATE(Year,5,31),3)</f>
        <v>44347</v>
      </c>
      <c r="C43" s="60" t="s">
        <v>30</v>
      </c>
      <c r="D43" s="61"/>
      <c r="G43" s="1" t="s">
        <v>41</v>
      </c>
      <c r="H43" s="38">
        <v>3</v>
      </c>
      <c r="I43" s="38">
        <v>11</v>
      </c>
      <c r="J43" s="38">
        <v>1</v>
      </c>
      <c r="K43" s="3" t="s">
        <v>51</v>
      </c>
    </row>
    <row r="44" spans="2:11" ht="15" hidden="1" x14ac:dyDescent="0.3">
      <c r="B44" s="59">
        <f>DATE(Year,7,4)+IF(WEEKDAY(DATE(Year,7,4),2)&lt;6,0,IF(WEEKDAY(DATE(Year,7,4),2)=6,-1,1))</f>
        <v>44382</v>
      </c>
      <c r="C44" s="60" t="s">
        <v>31</v>
      </c>
      <c r="D44" s="61"/>
      <c r="G44" s="1" t="s">
        <v>43</v>
      </c>
      <c r="H44" s="38">
        <v>4</v>
      </c>
      <c r="I44" s="38">
        <v>12</v>
      </c>
      <c r="J44" s="38">
        <v>3</v>
      </c>
      <c r="K44" s="3" t="s">
        <v>50</v>
      </c>
    </row>
    <row r="45" spans="2:11" ht="15" hidden="1" x14ac:dyDescent="0.3">
      <c r="B45" s="59">
        <f>DATE(Year,9,7)-WEEKDAY(DATE(Year,9,7),3)</f>
        <v>44445</v>
      </c>
      <c r="C45" s="60" t="s">
        <v>32</v>
      </c>
      <c r="D45" s="61"/>
      <c r="G45" s="1" t="s">
        <v>44</v>
      </c>
      <c r="H45" s="38">
        <v>5</v>
      </c>
      <c r="I45" s="38">
        <v>12</v>
      </c>
      <c r="J45" s="38">
        <v>2</v>
      </c>
      <c r="K45" s="3" t="s">
        <v>45</v>
      </c>
    </row>
    <row r="46" spans="2:11" ht="15" hidden="1" x14ac:dyDescent="0.3">
      <c r="B46" s="59">
        <f>DATE(Year,10,14)-WEEKDAY(DATE(Year,10,14),3)</f>
        <v>44480</v>
      </c>
      <c r="C46" s="60" t="s">
        <v>33</v>
      </c>
      <c r="D46" s="61"/>
      <c r="G46" s="1" t="s">
        <v>46</v>
      </c>
      <c r="H46" s="38">
        <v>6</v>
      </c>
      <c r="I46" s="38">
        <v>11</v>
      </c>
      <c r="J46" s="38">
        <v>1</v>
      </c>
      <c r="K46" s="3" t="s">
        <v>47</v>
      </c>
    </row>
    <row r="47" spans="2:11" ht="15" hidden="1" x14ac:dyDescent="0.3">
      <c r="B47" s="59">
        <f>DATE(Year,11,11)+IF(WEEKDAY(DATE(Year,11,11),2)&lt;6,0,IF(WEEKDAY(DATE(Year,11,11),2)=6,-1,1))</f>
        <v>44511</v>
      </c>
      <c r="C47" s="60" t="s">
        <v>34</v>
      </c>
      <c r="D47" s="61"/>
      <c r="G47" s="1" t="s">
        <v>48</v>
      </c>
      <c r="H47" s="38">
        <v>7</v>
      </c>
      <c r="I47" s="38">
        <v>10</v>
      </c>
      <c r="J47" s="38">
        <v>1</v>
      </c>
      <c r="K47" s="3" t="s">
        <v>49</v>
      </c>
    </row>
    <row r="48" spans="2:11" ht="15" hidden="1" x14ac:dyDescent="0.3">
      <c r="B48" s="59">
        <f>DATE(Year,11,28)-WEEKDAY(DATE(Year,11,25),3)</f>
        <v>44525</v>
      </c>
      <c r="C48" s="60" t="s">
        <v>35</v>
      </c>
      <c r="D48" s="61"/>
    </row>
    <row r="49" spans="2:4" ht="15" hidden="1" x14ac:dyDescent="0.3">
      <c r="B49" s="59">
        <f>DATE(Year,12,25)+IF(WEEKDAY(DATE(Year,12,25),2)&lt;6,0,IF(WEEKDAY(DATE(Year,12,25),2)=6,-1,1))</f>
        <v>44554</v>
      </c>
      <c r="C49" s="60" t="s">
        <v>36</v>
      </c>
      <c r="D49" s="61"/>
    </row>
    <row r="50" spans="2:4" ht="15" hidden="1" x14ac:dyDescent="0.3">
      <c r="B50" s="59">
        <f>DATE(Year+1,1,1)+IF(WEEKDAY(DATE(Year+1,1,1),2)&lt;6,0,IF(WEEKDAY(DATE(Year+1,1,1),2)=6,-1,1))</f>
        <v>44561</v>
      </c>
      <c r="C50" s="60" t="str">
        <f>C40&amp;" "&amp;(Year+1)</f>
        <v>New Years Day 2022</v>
      </c>
      <c r="D50" s="61"/>
    </row>
    <row r="51" spans="2:4" ht="15" hidden="1" x14ac:dyDescent="0.3">
      <c r="B51" s="59">
        <f>DATE(Year+1,1,21)-WEEKDAY(DATE(Year+1,1,21),3)</f>
        <v>44578</v>
      </c>
      <c r="C51" s="60" t="str">
        <f t="shared" ref="C51:C59" si="0">C41&amp;" "&amp;(Year+1)</f>
        <v>Martin Luther King Day 2022</v>
      </c>
      <c r="D51" s="61"/>
    </row>
    <row r="52" spans="2:4" ht="15" hidden="1" x14ac:dyDescent="0.3">
      <c r="B52" s="59">
        <f>DATE(Year+1,2,21)-WEEKDAY(DATE(Year+1,2,21),3)</f>
        <v>44613</v>
      </c>
      <c r="C52" s="60" t="str">
        <f t="shared" si="0"/>
        <v>President's Day 2022</v>
      </c>
      <c r="D52" s="61"/>
    </row>
    <row r="53" spans="2:4" ht="15" hidden="1" x14ac:dyDescent="0.3">
      <c r="B53" s="59">
        <f>DATE(Year+1,5,31)-WEEKDAY(DATE(Year+1,5,31),3)</f>
        <v>44711</v>
      </c>
      <c r="C53" s="60" t="str">
        <f t="shared" si="0"/>
        <v>Memorial Day 2022</v>
      </c>
      <c r="D53" s="61"/>
    </row>
    <row r="54" spans="2:4" ht="15" hidden="1" x14ac:dyDescent="0.3">
      <c r="B54" s="59">
        <f>DATE(Year+1,7,4)+IF(WEEKDAY(DATE(Year+1,7,4),2)&lt;6,0,IF(WEEKDAY(DATE(Year+1,7,4),2)=6,-1,1))</f>
        <v>44746</v>
      </c>
      <c r="C54" s="60" t="str">
        <f t="shared" si="0"/>
        <v>Independence Day 2022</v>
      </c>
      <c r="D54" s="61"/>
    </row>
    <row r="55" spans="2:4" ht="15" hidden="1" x14ac:dyDescent="0.3">
      <c r="B55" s="59">
        <f>DATE(Year+1,9,7)-WEEKDAY(DATE(Year+1,9,7),3)</f>
        <v>44809</v>
      </c>
      <c r="C55" s="60" t="str">
        <f t="shared" si="0"/>
        <v>Labor Day 2022</v>
      </c>
      <c r="D55" s="61"/>
    </row>
    <row r="56" spans="2:4" ht="15" hidden="1" x14ac:dyDescent="0.3">
      <c r="B56" s="59">
        <f>DATE(Year+1,10,14)-WEEKDAY(DATE(Year+1,10,14),3)</f>
        <v>44844</v>
      </c>
      <c r="C56" s="60" t="str">
        <f t="shared" si="0"/>
        <v>Columbus Day 2022</v>
      </c>
      <c r="D56" s="61"/>
    </row>
    <row r="57" spans="2:4" ht="15" hidden="1" x14ac:dyDescent="0.3">
      <c r="B57" s="59">
        <f>DATE(Year+1,11,11)+IF(WEEKDAY(DATE(Year+1,11,11),2)&lt;6,0,IF(WEEKDAY(DATE(Year+1,11,11),2)=6,-1,1))</f>
        <v>44876</v>
      </c>
      <c r="C57" s="60" t="str">
        <f t="shared" si="0"/>
        <v>Veteran's Day 2022</v>
      </c>
      <c r="D57" s="61"/>
    </row>
    <row r="58" spans="2:4" ht="15" hidden="1" x14ac:dyDescent="0.3">
      <c r="B58" s="59">
        <f>DATE(Year+1,11,28)-WEEKDAY(DATE(Year+1,11,25),3)</f>
        <v>44889</v>
      </c>
      <c r="C58" s="60" t="str">
        <f t="shared" si="0"/>
        <v>Thanksgiving 2022</v>
      </c>
      <c r="D58" s="61"/>
    </row>
    <row r="59" spans="2:4" ht="15" hidden="1" x14ac:dyDescent="0.3">
      <c r="B59" s="59">
        <f>DATE(Year+1,12,25)+IF(WEEKDAY(DATE(Year+1,12,25),2)&lt;6,0,IF(WEEKDAY(DATE(Year+1,12,25),2)=6,-1,1))</f>
        <v>44921</v>
      </c>
      <c r="C59" s="60" t="str">
        <f t="shared" si="0"/>
        <v>Christmas 2022</v>
      </c>
      <c r="D59" s="61"/>
    </row>
    <row r="60" spans="2:4" ht="15" hidden="1" x14ac:dyDescent="0.3">
      <c r="B60" s="59">
        <f>DATE(Year+2,1,1)+IF(WEEKDAY(DATE(Year+2,1,1),2)&lt;6,0,IF(WEEKDAY(DATE(Year+2,1,1),2)=6,-1,1))</f>
        <v>44928</v>
      </c>
      <c r="C60" s="60" t="str">
        <f>C40&amp;" "&amp;(Year+2)</f>
        <v>New Years Day 2023</v>
      </c>
      <c r="D60" s="61"/>
    </row>
    <row r="61" spans="2:4" ht="15" hidden="1" x14ac:dyDescent="0.3">
      <c r="B61" s="62">
        <f>DATE(Year+2,1,21)-WEEKDAY(DATE(Year+2,1,21),3)</f>
        <v>44942</v>
      </c>
      <c r="C61" s="63" t="str">
        <f>C41&amp;" "&amp;(Year+2)</f>
        <v>Martin Luther King Day 2023</v>
      </c>
      <c r="D61" s="64"/>
    </row>
  </sheetData>
  <sheetProtection sheet="1" selectLockedCells="1"/>
  <mergeCells count="7">
    <mergeCell ref="B36:G36"/>
    <mergeCell ref="B37:G37"/>
    <mergeCell ref="B3:G3"/>
    <mergeCell ref="B2:G2"/>
    <mergeCell ref="B34:G34"/>
    <mergeCell ref="B35:G35"/>
    <mergeCell ref="B4:G4"/>
  </mergeCells>
  <phoneticPr fontId="0" type="noConversion"/>
  <conditionalFormatting sqref="B40:B61">
    <cfRule type="cellIs" dxfId="105" priority="11" stopIfTrue="1" operator="lessThan">
      <formula>TODAY()</formula>
    </cfRule>
  </conditionalFormatting>
  <conditionalFormatting sqref="C40:C61">
    <cfRule type="expression" dxfId="104" priority="12" stopIfTrue="1">
      <formula>B40&lt;TODAY()</formula>
    </cfRule>
  </conditionalFormatting>
  <conditionalFormatting sqref="D15">
    <cfRule type="cellIs" dxfId="103" priority="13" stopIfTrue="1" operator="between">
      <formula>$I$14</formula>
      <formula>$J$14</formula>
    </cfRule>
  </conditionalFormatting>
  <conditionalFormatting sqref="F13 F16 F28 F10">
    <cfRule type="expression" dxfId="102" priority="14" stopIfTrue="1">
      <formula>F9&lt;&gt;H9</formula>
    </cfRule>
    <cfRule type="expression" dxfId="101" priority="15" stopIfTrue="1">
      <formula>D9-D12&lt;&gt;F9</formula>
    </cfRule>
  </conditionalFormatting>
  <conditionalFormatting sqref="B36:G36">
    <cfRule type="expression" dxfId="100" priority="18" stopIfTrue="1">
      <formula>AND($D$15&gt;=$I$14,$D$15&lt;=$J$14)</formula>
    </cfRule>
  </conditionalFormatting>
  <conditionalFormatting sqref="E6">
    <cfRule type="expression" dxfId="99" priority="6">
      <formula>AND($D$6&gt;0,$D$9&gt;$D$6)</formula>
    </cfRule>
  </conditionalFormatting>
  <conditionalFormatting sqref="D6">
    <cfRule type="expression" dxfId="98" priority="5">
      <formula>AND($D$6&gt;0,$D$9&gt;$D$6)</formula>
    </cfRule>
  </conditionalFormatting>
  <conditionalFormatting sqref="F32">
    <cfRule type="expression" dxfId="97" priority="32" stopIfTrue="1">
      <formula>F31&lt;&gt;H31</formula>
    </cfRule>
    <cfRule type="expression" dxfId="96" priority="33" stopIfTrue="1">
      <formula>D28-D31&lt;&gt;F31</formula>
    </cfRule>
  </conditionalFormatting>
  <conditionalFormatting sqref="F19">
    <cfRule type="expression" dxfId="95" priority="34" stopIfTrue="1">
      <formula>F18&lt;&gt;H18</formula>
    </cfRule>
    <cfRule type="expression" dxfId="94" priority="35" stopIfTrue="1">
      <formula>D18-D27&lt;&gt;F18</formula>
    </cfRule>
  </conditionalFormatting>
  <conditionalFormatting sqref="F25">
    <cfRule type="expression" dxfId="93" priority="3" stopIfTrue="1">
      <formula>F24&lt;&gt;H24</formula>
    </cfRule>
    <cfRule type="expression" dxfId="92" priority="4" stopIfTrue="1">
      <formula>D24-D27&lt;&gt;F24</formula>
    </cfRule>
  </conditionalFormatting>
  <conditionalFormatting sqref="F22">
    <cfRule type="expression" dxfId="91" priority="1" stopIfTrue="1">
      <formula>F21&lt;&gt;H21</formula>
    </cfRule>
    <cfRule type="expression" dxfId="90" priority="2" stopIfTrue="1">
      <formula>D21-D24&lt;&gt;F21</formula>
    </cfRule>
  </conditionalFormatting>
  <printOptions horizontalCentered="1"/>
  <pageMargins left="0.75" right="0.75" top="0.6" bottom="0.6" header="0.5" footer="0.5"/>
  <pageSetup orientation="landscape" horizontalDpi="4294967292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3"/>
  <sheetViews>
    <sheetView showGridLines="0" workbookViewId="0">
      <selection activeCell="B4" sqref="B4:G4"/>
    </sheetView>
  </sheetViews>
  <sheetFormatPr defaultColWidth="9.7109375" defaultRowHeight="12.75" x14ac:dyDescent="0.2"/>
  <cols>
    <col min="1" max="1" width="3.7109375" style="3" customWidth="1"/>
    <col min="2" max="2" width="16.7109375" style="3" customWidth="1"/>
    <col min="3" max="3" width="21.7109375" style="3" customWidth="1"/>
    <col min="4" max="4" width="14.7109375" style="3" customWidth="1"/>
    <col min="5" max="6" width="6.7109375" style="3" customWidth="1"/>
    <col min="7" max="7" width="50.7109375" style="3" customWidth="1"/>
    <col min="8" max="8" width="9.7109375" style="3" hidden="1" customWidth="1"/>
    <col min="9" max="10" width="14.7109375" style="3" hidden="1" customWidth="1"/>
    <col min="11" max="11" width="24.7109375" style="3" hidden="1" customWidth="1"/>
    <col min="12" max="12" width="9.7109375" style="3"/>
    <col min="13" max="13" width="9.140625" customWidth="1"/>
    <col min="14" max="16384" width="9.7109375" style="3"/>
  </cols>
  <sheetData>
    <row r="2" spans="2:11" ht="23.25" x14ac:dyDescent="0.35">
      <c r="B2" s="74" t="s">
        <v>20</v>
      </c>
      <c r="C2" s="74"/>
      <c r="D2" s="74"/>
      <c r="E2" s="74"/>
      <c r="F2" s="74"/>
      <c r="G2" s="74"/>
    </row>
    <row r="3" spans="2:11" ht="23.25" x14ac:dyDescent="0.35">
      <c r="B3" s="74" t="s">
        <v>8</v>
      </c>
      <c r="C3" s="74"/>
      <c r="D3" s="74"/>
      <c r="E3" s="74"/>
      <c r="F3" s="74"/>
      <c r="G3" s="74"/>
      <c r="H3" s="4"/>
    </row>
    <row r="4" spans="2:11" ht="23.25" customHeight="1" x14ac:dyDescent="0.35">
      <c r="B4" s="76" t="s">
        <v>69</v>
      </c>
      <c r="C4" s="76"/>
      <c r="D4" s="76"/>
      <c r="E4" s="76"/>
      <c r="F4" s="76"/>
      <c r="G4" s="76"/>
      <c r="H4" s="53" t="s">
        <v>70</v>
      </c>
      <c r="I4"/>
      <c r="J4"/>
      <c r="K4"/>
    </row>
    <row r="5" spans="2:11" ht="12.75" customHeight="1" x14ac:dyDescent="0.2">
      <c r="B5" s="12"/>
      <c r="C5" s="12"/>
      <c r="D5" s="25"/>
      <c r="E5" s="13"/>
      <c r="F5" s="13"/>
      <c r="G5" s="13"/>
      <c r="H5" s="53"/>
      <c r="I5"/>
      <c r="J5"/>
      <c r="K5"/>
    </row>
    <row r="6" spans="2:11" ht="16.5" customHeight="1" thickBot="1" x14ac:dyDescent="0.25">
      <c r="B6" s="14" t="s">
        <v>72</v>
      </c>
      <c r="C6" s="12"/>
      <c r="D6" s="68"/>
      <c r="E6" s="69" t="str">
        <f>"  &lt;-- "&amp;IF(AND($D$6&gt;0,$D$9&gt;$D$6),"Date cannot be prior to calculated NTP date","Optional desired NTP date")</f>
        <v xml:space="preserve">  &lt;-- Optional desired NTP date</v>
      </c>
      <c r="F6" s="13"/>
      <c r="G6" s="13"/>
      <c r="H6" s="53"/>
      <c r="I6"/>
      <c r="J6"/>
      <c r="K6"/>
    </row>
    <row r="7" spans="2:11" ht="12.75" customHeight="1" x14ac:dyDescent="0.2">
      <c r="B7" s="8"/>
      <c r="C7" s="8"/>
      <c r="D7" s="26"/>
      <c r="E7" s="10"/>
      <c r="F7" s="10"/>
      <c r="G7" s="10"/>
      <c r="H7" s="53"/>
      <c r="I7"/>
      <c r="J7"/>
      <c r="K7"/>
    </row>
    <row r="8" spans="2:11" x14ac:dyDescent="0.2">
      <c r="B8" s="12"/>
      <c r="C8" s="12"/>
      <c r="D8" s="12"/>
      <c r="E8" s="13"/>
      <c r="F8" s="13"/>
      <c r="G8" s="27" t="str">
        <f>IF(D9&gt;MAX(Holidays),"Warning! Last date beyond last calculated holiday.","")</f>
        <v/>
      </c>
      <c r="H8" s="52"/>
      <c r="I8"/>
      <c r="J8"/>
      <c r="K8"/>
    </row>
    <row r="9" spans="2:11" ht="13.5" thickBot="1" x14ac:dyDescent="0.25">
      <c r="B9" s="14" t="s">
        <v>4</v>
      </c>
      <c r="C9" s="23"/>
      <c r="D9" s="29">
        <f>WORKDAY(D12+F9,IF(OR(WEEKDAY(D12+F9,2)&gt;5,ISNUMBER(MATCH(D12+F9,Holidays,0))),1,0),Holidays)</f>
        <v>44356</v>
      </c>
      <c r="E9" s="13"/>
      <c r="F9" s="16">
        <f>3*7</f>
        <v>21</v>
      </c>
      <c r="G9" s="13" t="s">
        <v>71</v>
      </c>
      <c r="H9" s="52">
        <f>3*7</f>
        <v>21</v>
      </c>
      <c r="I9"/>
      <c r="J9"/>
      <c r="K9"/>
    </row>
    <row r="10" spans="2:11" x14ac:dyDescent="0.2">
      <c r="B10" s="8"/>
      <c r="C10" s="24"/>
      <c r="D10" s="2"/>
      <c r="E10" s="10"/>
      <c r="F10" s="17" t="str">
        <f>IF(F9&lt;&gt;H9,"Standard "&amp;H9&amp;" days has been changed.  ","")&amp;IF(D9-D12&lt;&gt;F9,"("&amp;D9-D12&amp;" days used)","")</f>
        <v/>
      </c>
      <c r="G10" s="10"/>
      <c r="H10" s="54"/>
      <c r="I10"/>
      <c r="J10"/>
      <c r="K10"/>
    </row>
    <row r="11" spans="2:11" x14ac:dyDescent="0.2">
      <c r="B11" s="12"/>
      <c r="C11" s="12"/>
      <c r="D11" s="25"/>
      <c r="E11" s="13"/>
      <c r="F11" s="16">
        <v>21</v>
      </c>
      <c r="G11" s="13" t="s">
        <v>64</v>
      </c>
      <c r="H11" s="52"/>
      <c r="I11"/>
      <c r="J11"/>
      <c r="K11"/>
    </row>
    <row r="12" spans="2:11" x14ac:dyDescent="0.2">
      <c r="B12" s="14" t="s">
        <v>0</v>
      </c>
      <c r="C12" s="12"/>
      <c r="D12" s="31">
        <f>WORKDAY(D15+F11,IF(OR(WEEKDAY(D15+F11,2)&gt;5,ISNUMBER(MATCH(D15+F11,Holidays,0))),1,0),Holidays)</f>
        <v>44335</v>
      </c>
      <c r="E12" s="15"/>
      <c r="F12" s="13"/>
      <c r="G12" s="13" t="s">
        <v>26</v>
      </c>
      <c r="H12" s="52">
        <v>21</v>
      </c>
      <c r="I12"/>
      <c r="J12"/>
      <c r="K12"/>
    </row>
    <row r="13" spans="2:11" x14ac:dyDescent="0.2">
      <c r="B13" s="8"/>
      <c r="C13" s="8"/>
      <c r="D13" s="26"/>
      <c r="E13" s="10"/>
      <c r="F13" s="17" t="str">
        <f>IF(F11&lt;&gt;H12,"Standard "&amp;H12&amp;" days has been changed.  ","")&amp;IF(D12-D15&lt;&gt;F11,"("&amp;D12-D15&amp;" days used)","")</f>
        <v/>
      </c>
      <c r="G13" s="10"/>
      <c r="H13" s="54"/>
      <c r="I13"/>
      <c r="J13"/>
      <c r="K13"/>
    </row>
    <row r="14" spans="2:11" x14ac:dyDescent="0.2">
      <c r="B14" s="12"/>
      <c r="C14" s="12"/>
      <c r="D14" s="25"/>
      <c r="E14" s="13"/>
      <c r="F14" s="16">
        <v>30</v>
      </c>
      <c r="G14" s="13" t="s">
        <v>19</v>
      </c>
      <c r="H14" s="52"/>
      <c r="I14" s="46">
        <f>INDEX(Holidays,MATCH(DATE(YEAR(D15),12,1),Holidays))</f>
        <v>44525</v>
      </c>
      <c r="J14" s="47">
        <f>WORKDAY(DATE(YEAR(D15),12,31),VLOOKUP(WEEKDAY(DATE(YEAR(D15),12,25)),Christmas,3,0),Holidays)-1</f>
        <v>44563</v>
      </c>
      <c r="K14" s="48" t="s">
        <v>60</v>
      </c>
    </row>
    <row r="15" spans="2:11" x14ac:dyDescent="0.2">
      <c r="B15" s="14" t="s">
        <v>6</v>
      </c>
      <c r="C15" s="12"/>
      <c r="D15" s="33">
        <f>WORKDAY(J15,IF(J15-INDEX(Holidays,MATCH(J15,Holidays))&lt;2,1,0),Holidays)</f>
        <v>44314</v>
      </c>
      <c r="E15" s="15"/>
      <c r="F15" s="13"/>
      <c r="G15" s="13" t="s">
        <v>21</v>
      </c>
      <c r="H15" s="52">
        <v>30</v>
      </c>
      <c r="I15" s="49">
        <f>D18+F14+IF(WORKDAY(DATE(YEAR(D18),12,24),-1,Holidays)-D18&lt;F14,VLOOKUP(WEEKDAY(DATE(YEAR(D18),12,25)),Christmas,2,0),0)</f>
        <v>44314</v>
      </c>
      <c r="J15" s="50">
        <f>WORKDAY(I15,IF(AND(WEEKDAY(I15,2)=4,ISNUMBER(MATCH(I15,Holidays,0))),3,IF(OR(AND(WEEKDAY(I15,2)=5,ISNUMBER(MATCH(I15,Holidays,0))),WEEKDAY(I15,2)&gt;5),2,IF(OR(WEEKDAY(I15,2)=1,ISNUMBER(MATCH(I15,Holidays,0))),1,0))),Holidays)</f>
        <v>44314</v>
      </c>
      <c r="K15" s="55"/>
    </row>
    <row r="16" spans="2:11" x14ac:dyDescent="0.2">
      <c r="B16" s="8"/>
      <c r="C16" s="8"/>
      <c r="D16" s="26"/>
      <c r="E16" s="11"/>
      <c r="F16" s="17" t="str">
        <f>IF(F14&lt;&gt;H15,"Standard "&amp;H15&amp;" days has been changed.  ","")&amp;IF(D15-D18&lt;&gt;F14,"("&amp;D15-D18&amp;" days used)","")</f>
        <v/>
      </c>
      <c r="G16" s="10"/>
      <c r="H16" s="54"/>
      <c r="I16" s="45" t="s">
        <v>57</v>
      </c>
      <c r="J16" s="51" t="s">
        <v>58</v>
      </c>
      <c r="K16" s="55"/>
    </row>
    <row r="17" spans="2:11" x14ac:dyDescent="0.2">
      <c r="B17" s="12"/>
      <c r="C17" s="12"/>
      <c r="D17" s="25"/>
      <c r="E17" s="13"/>
      <c r="F17" s="13"/>
      <c r="G17" s="21"/>
      <c r="H17" s="52"/>
      <c r="I17"/>
      <c r="J17"/>
      <c r="K17"/>
    </row>
    <row r="18" spans="2:11" x14ac:dyDescent="0.2">
      <c r="B18" s="14" t="s">
        <v>2</v>
      </c>
      <c r="C18" s="12"/>
      <c r="D18" s="31">
        <f>WORKDAY(D21+F18,IF(OR(WEEKDAY(D21+F18,2)&gt;5,ISNUMBER(MATCH(D21+F18,Holidays,0))),1,0),Holidays)</f>
        <v>44284</v>
      </c>
      <c r="E18" s="15"/>
      <c r="F18" s="16">
        <v>14</v>
      </c>
      <c r="G18" s="13" t="s">
        <v>14</v>
      </c>
      <c r="H18" s="52">
        <v>14</v>
      </c>
      <c r="I18"/>
      <c r="J18"/>
      <c r="K18"/>
    </row>
    <row r="19" spans="2:11" x14ac:dyDescent="0.2">
      <c r="B19" s="8"/>
      <c r="C19" s="8"/>
      <c r="D19" s="26"/>
      <c r="E19" s="11"/>
      <c r="F19" s="17" t="str">
        <f>IF(F18&lt;&gt;H18,"Standard "&amp;H18&amp;" days has been changed.  ","")&amp;IF(D18-D21&lt;&gt;F18,"("&amp;D18-D21&amp;" days used)","")</f>
        <v/>
      </c>
      <c r="G19" s="10"/>
      <c r="H19" s="54"/>
      <c r="I19"/>
      <c r="J19"/>
      <c r="K19"/>
    </row>
    <row r="20" spans="2:11" x14ac:dyDescent="0.2">
      <c r="B20" s="12"/>
      <c r="C20" s="12"/>
      <c r="D20" s="25"/>
      <c r="E20" s="15"/>
      <c r="F20" s="15"/>
      <c r="G20" s="21"/>
      <c r="H20" s="52"/>
      <c r="I20"/>
      <c r="J20"/>
      <c r="K20"/>
    </row>
    <row r="21" spans="2:11" x14ac:dyDescent="0.2">
      <c r="B21" s="14" t="s">
        <v>5</v>
      </c>
      <c r="C21" s="12"/>
      <c r="D21" s="31">
        <f>WORKDAY(D24+F21,IF(OR(WEEKDAY(D24+F21,2)&gt;5,ISNUMBER(MATCH(D24+F21,Holidays,0))),1,0),Holidays)</f>
        <v>44270</v>
      </c>
      <c r="E21" s="15"/>
      <c r="F21" s="16">
        <v>0</v>
      </c>
      <c r="G21" s="13" t="s">
        <v>77</v>
      </c>
      <c r="H21" s="52">
        <v>0</v>
      </c>
      <c r="I21"/>
      <c r="J21"/>
      <c r="K21"/>
    </row>
    <row r="22" spans="2:11" x14ac:dyDescent="0.2">
      <c r="B22" s="8"/>
      <c r="C22" s="8"/>
      <c r="D22" s="26"/>
      <c r="E22" s="11"/>
      <c r="F22" s="17" t="str">
        <f>IF(F21&lt;&gt;H21,"Standard "&amp;H21&amp;" days has been changed.  ","")&amp;IF(D21-D24&lt;&gt;F21,"("&amp;D21-D24&amp;" days used)","")</f>
        <v/>
      </c>
      <c r="G22" s="10"/>
      <c r="H22" s="54"/>
      <c r="I22"/>
      <c r="J22"/>
      <c r="K22"/>
    </row>
    <row r="23" spans="2:11" x14ac:dyDescent="0.2">
      <c r="B23" s="12"/>
      <c r="C23" s="12"/>
      <c r="D23" s="25"/>
      <c r="E23" s="15"/>
      <c r="F23" s="15"/>
      <c r="G23" s="21"/>
      <c r="H23" s="52"/>
      <c r="I23"/>
      <c r="J23"/>
      <c r="K23"/>
    </row>
    <row r="24" spans="2:11" x14ac:dyDescent="0.2">
      <c r="B24" s="14" t="s">
        <v>74</v>
      </c>
      <c r="C24" s="12"/>
      <c r="D24" s="31">
        <f>WORKDAY(D27+F24,IF(OR(WEEKDAY(D27+F24,2)&gt;5,ISNUMBER(MATCH(D27+F24,Holidays,0))),1,0),Holidays)</f>
        <v>44270</v>
      </c>
      <c r="E24" s="15"/>
      <c r="F24" s="16">
        <v>7</v>
      </c>
      <c r="G24" s="13" t="s">
        <v>76</v>
      </c>
      <c r="H24" s="52">
        <v>7</v>
      </c>
      <c r="I24"/>
      <c r="J24"/>
      <c r="K24"/>
    </row>
    <row r="25" spans="2:11" x14ac:dyDescent="0.2">
      <c r="B25" s="8"/>
      <c r="C25" s="8"/>
      <c r="D25" s="26"/>
      <c r="E25" s="11"/>
      <c r="F25" s="17" t="str">
        <f>IF(F24&lt;&gt;H24,"Standard "&amp;H24&amp;" days has been changed.  ","")&amp;IF(D24-D27&lt;&gt;F24,"("&amp;D24-D27&amp;" days used)","")</f>
        <v/>
      </c>
      <c r="G25" s="10"/>
      <c r="H25" s="54"/>
      <c r="I25"/>
      <c r="J25"/>
      <c r="K25"/>
    </row>
    <row r="26" spans="2:11" x14ac:dyDescent="0.2">
      <c r="B26" s="12"/>
      <c r="C26" s="12"/>
      <c r="D26" s="25"/>
      <c r="E26" s="15"/>
      <c r="F26" s="15"/>
      <c r="G26" s="21"/>
      <c r="H26" s="52"/>
      <c r="I26"/>
      <c r="J26"/>
      <c r="K26"/>
    </row>
    <row r="27" spans="2:11" x14ac:dyDescent="0.2">
      <c r="B27" s="14" t="s">
        <v>73</v>
      </c>
      <c r="C27" s="12"/>
      <c r="D27" s="31">
        <f>WORKDAY(Arrives+F27,IF(OR(WEEKDAY(Arrives+F27,2)&gt;5,ISNUMBER(MATCH(Arrives+F27,Holidays,0))),1,0),Holidays)</f>
        <v>44263</v>
      </c>
      <c r="E27" s="15"/>
      <c r="F27" s="16">
        <v>7</v>
      </c>
      <c r="G27" s="13" t="s">
        <v>75</v>
      </c>
      <c r="H27" s="52">
        <v>7</v>
      </c>
      <c r="I27"/>
      <c r="J27"/>
      <c r="K27"/>
    </row>
    <row r="28" spans="2:11" x14ac:dyDescent="0.2">
      <c r="B28" s="8"/>
      <c r="C28" s="8"/>
      <c r="D28" s="26"/>
      <c r="E28" s="11"/>
      <c r="F28" s="17" t="str">
        <f>IF(F27&lt;&gt;H27,"Standard "&amp;H27&amp;" days has been changed.  ","")&amp;IF(D27-D30&lt;&gt;F27,"("&amp;D27-D30&amp;" days used)","")</f>
        <v/>
      </c>
      <c r="G28" s="10"/>
      <c r="H28" s="54"/>
      <c r="I28"/>
      <c r="J28"/>
      <c r="K28"/>
    </row>
    <row r="29" spans="2:11" x14ac:dyDescent="0.2">
      <c r="B29" s="12"/>
      <c r="C29" s="12"/>
      <c r="D29" s="25"/>
      <c r="E29" s="15"/>
      <c r="F29" s="15"/>
      <c r="G29" s="21"/>
    </row>
    <row r="30" spans="2:11" ht="16.5" thickBot="1" x14ac:dyDescent="0.3">
      <c r="B30" s="14" t="s">
        <v>3</v>
      </c>
      <c r="C30" s="7">
        <f>Arrives</f>
        <v>44256</v>
      </c>
      <c r="D30" s="6">
        <v>44256</v>
      </c>
      <c r="E30" s="22" t="s">
        <v>56</v>
      </c>
      <c r="F30" s="5"/>
      <c r="G30" s="5"/>
    </row>
    <row r="31" spans="2:11" x14ac:dyDescent="0.2">
      <c r="B31" s="8"/>
      <c r="C31" s="9"/>
      <c r="D31" s="10"/>
      <c r="E31" s="11"/>
      <c r="F31" s="11"/>
      <c r="G31" s="10"/>
    </row>
    <row r="32" spans="2:11" x14ac:dyDescent="0.2">
      <c r="B32" s="13"/>
      <c r="C32" s="13"/>
      <c r="D32" s="13"/>
      <c r="E32" s="15"/>
      <c r="F32" s="15"/>
      <c r="G32" s="13"/>
    </row>
    <row r="33" spans="2:11" x14ac:dyDescent="0.2">
      <c r="B33" s="14" t="s">
        <v>24</v>
      </c>
      <c r="C33" s="13"/>
      <c r="D33" s="13"/>
      <c r="E33" s="15"/>
      <c r="F33" s="15"/>
      <c r="G33" s="13"/>
    </row>
    <row r="34" spans="2:11" x14ac:dyDescent="0.2">
      <c r="B34" s="14"/>
      <c r="C34" s="13"/>
      <c r="D34" s="13"/>
      <c r="E34" s="15"/>
      <c r="F34" s="15"/>
      <c r="G34" s="13"/>
    </row>
    <row r="35" spans="2:11" ht="15.75" x14ac:dyDescent="0.25">
      <c r="B35" s="18" t="s">
        <v>15</v>
      </c>
      <c r="C35" s="13"/>
      <c r="D35" s="13"/>
      <c r="E35" s="13"/>
      <c r="F35" s="13"/>
      <c r="G35" s="13"/>
    </row>
    <row r="36" spans="2:11" ht="12.75" customHeight="1" x14ac:dyDescent="0.2">
      <c r="B36" s="75" t="s">
        <v>16</v>
      </c>
      <c r="C36" s="75"/>
      <c r="D36" s="75"/>
      <c r="E36" s="75"/>
      <c r="F36" s="75"/>
      <c r="G36" s="75"/>
    </row>
    <row r="37" spans="2:11" x14ac:dyDescent="0.2">
      <c r="B37" s="71" t="s">
        <v>62</v>
      </c>
      <c r="C37" s="75"/>
      <c r="D37" s="75"/>
      <c r="E37" s="75"/>
      <c r="F37" s="75"/>
      <c r="G37" s="75"/>
    </row>
    <row r="38" spans="2:11" ht="12.75" customHeight="1" x14ac:dyDescent="0.2">
      <c r="B38" s="71" t="s">
        <v>63</v>
      </c>
      <c r="C38" s="71"/>
      <c r="D38" s="71"/>
      <c r="E38" s="71"/>
      <c r="F38" s="71"/>
      <c r="G38" s="71"/>
      <c r="I38" s="35"/>
    </row>
    <row r="39" spans="2:11" ht="25.5" customHeight="1" x14ac:dyDescent="0.2">
      <c r="B39" s="72" t="str">
        <f>"If the advertisement period includes the Christmas/New Year Holiday period, 7 to 14 days will need to be added to the advertisement period"&amp;IF(YEAR(D15)&lt;&gt;YEAR(D18)," ("&amp;D15-D18-F14&amp;" days were added for holiday period)","")&amp;"."</f>
        <v>If the advertisement period includes the Christmas/New Year Holiday period, 7 to 14 days will need to be added to the advertisement period.</v>
      </c>
      <c r="C39" s="73"/>
      <c r="D39" s="73"/>
      <c r="E39" s="73"/>
      <c r="F39" s="73"/>
      <c r="G39" s="73"/>
      <c r="I39" s="35"/>
    </row>
    <row r="40" spans="2:11" x14ac:dyDescent="0.2">
      <c r="B40" s="19" t="s">
        <v>17</v>
      </c>
      <c r="C40" s="20"/>
      <c r="D40" s="20"/>
      <c r="E40" s="20"/>
      <c r="F40" s="20"/>
      <c r="G40" s="20"/>
    </row>
    <row r="41" spans="2:11" ht="16.5" hidden="1" x14ac:dyDescent="0.35">
      <c r="B41" s="65">
        <f>YEAR(Arrives)</f>
        <v>2021</v>
      </c>
      <c r="C41" s="66"/>
      <c r="D41" s="67"/>
    </row>
    <row r="42" spans="2:11" ht="15" hidden="1" x14ac:dyDescent="0.3">
      <c r="B42" s="56">
        <f>DATE(Year,1,1)+IF(WEEKDAY(DATE(Year,1,1),2)&lt;6,0,IF(WEEKDAY(DATE(Year,1,1),2)=6,-1,1))</f>
        <v>44197</v>
      </c>
      <c r="C42" s="57" t="s">
        <v>27</v>
      </c>
      <c r="D42" s="58"/>
      <c r="G42"/>
      <c r="H42"/>
      <c r="I42"/>
      <c r="J42"/>
      <c r="K42"/>
    </row>
    <row r="43" spans="2:11" ht="15" hidden="1" x14ac:dyDescent="0.3">
      <c r="B43" s="59">
        <f>DATE(Year,1,21)-WEEKDAY(DATE(Year,1,21),3)</f>
        <v>44214</v>
      </c>
      <c r="C43" s="60" t="s">
        <v>28</v>
      </c>
      <c r="D43" s="61"/>
      <c r="G43"/>
      <c r="H43"/>
      <c r="I43"/>
      <c r="J43"/>
      <c r="K43"/>
    </row>
    <row r="44" spans="2:11" ht="15" hidden="1" x14ac:dyDescent="0.3">
      <c r="B44" s="59">
        <f>DATE(Year,2,21)-WEEKDAY(DATE(Year,2,21),3)</f>
        <v>44242</v>
      </c>
      <c r="C44" s="60" t="s">
        <v>29</v>
      </c>
      <c r="D44" s="61"/>
      <c r="G44"/>
      <c r="H44"/>
      <c r="I44"/>
      <c r="J44"/>
      <c r="K44"/>
    </row>
    <row r="45" spans="2:11" ht="15" hidden="1" x14ac:dyDescent="0.3">
      <c r="B45" s="59">
        <f>DATE(Year,5,31)-WEEKDAY(DATE(Year,5,31),3)</f>
        <v>44347</v>
      </c>
      <c r="C45" s="60" t="s">
        <v>30</v>
      </c>
      <c r="D45" s="61"/>
      <c r="G45"/>
      <c r="H45"/>
      <c r="I45"/>
      <c r="J45"/>
      <c r="K45"/>
    </row>
    <row r="46" spans="2:11" ht="15" hidden="1" x14ac:dyDescent="0.3">
      <c r="B46" s="59">
        <f>DATE(Year,7,4)+IF(WEEKDAY(DATE(Year,7,4),2)&lt;6,0,IF(WEEKDAY(DATE(Year,7,4),2)=6,-1,1))</f>
        <v>44382</v>
      </c>
      <c r="C46" s="60" t="s">
        <v>31</v>
      </c>
      <c r="D46" s="61"/>
      <c r="G46"/>
      <c r="H46"/>
      <c r="I46"/>
      <c r="J46"/>
      <c r="K46"/>
    </row>
    <row r="47" spans="2:11" ht="15" hidden="1" x14ac:dyDescent="0.3">
      <c r="B47" s="59">
        <f>DATE(Year,9,7)-WEEKDAY(DATE(Year,9,7),3)</f>
        <v>44445</v>
      </c>
      <c r="C47" s="60" t="s">
        <v>32</v>
      </c>
      <c r="D47" s="61"/>
      <c r="G47"/>
      <c r="H47"/>
      <c r="I47"/>
      <c r="J47"/>
      <c r="K47"/>
    </row>
    <row r="48" spans="2:11" ht="15" hidden="1" x14ac:dyDescent="0.3">
      <c r="B48" s="59">
        <f>DATE(Year,10,14)-WEEKDAY(DATE(Year,10,14),3)</f>
        <v>44480</v>
      </c>
      <c r="C48" s="60" t="s">
        <v>33</v>
      </c>
      <c r="D48" s="61"/>
      <c r="G48"/>
      <c r="H48"/>
      <c r="I48"/>
      <c r="J48"/>
      <c r="K48"/>
    </row>
    <row r="49" spans="2:11" ht="15" hidden="1" x14ac:dyDescent="0.3">
      <c r="B49" s="59">
        <f>DATE(Year,11,11)+IF(WEEKDAY(DATE(Year,11,11),2)&lt;6,0,IF(WEEKDAY(DATE(Year,11,11),2)=6,-1,1))</f>
        <v>44511</v>
      </c>
      <c r="C49" s="60" t="s">
        <v>34</v>
      </c>
      <c r="D49" s="61"/>
      <c r="G49"/>
      <c r="H49"/>
      <c r="I49"/>
      <c r="J49"/>
      <c r="K49"/>
    </row>
    <row r="50" spans="2:11" ht="15" hidden="1" x14ac:dyDescent="0.3">
      <c r="B50" s="59">
        <f>DATE(Year,11,28)-WEEKDAY(DATE(Year,11,25),3)</f>
        <v>44525</v>
      </c>
      <c r="C50" s="60" t="s">
        <v>35</v>
      </c>
      <c r="D50" s="61"/>
      <c r="G50"/>
      <c r="H50"/>
      <c r="I50"/>
      <c r="J50"/>
      <c r="K50"/>
    </row>
    <row r="51" spans="2:11" ht="15" hidden="1" x14ac:dyDescent="0.3">
      <c r="B51" s="59">
        <f>DATE(Year,12,25)+IF(WEEKDAY(DATE(Year,12,25),2)&lt;6,0,IF(WEEKDAY(DATE(Year,12,25),2)=6,-1,1))</f>
        <v>44554</v>
      </c>
      <c r="C51" s="60" t="s">
        <v>36</v>
      </c>
      <c r="D51" s="61"/>
    </row>
    <row r="52" spans="2:11" ht="15" hidden="1" x14ac:dyDescent="0.3">
      <c r="B52" s="59">
        <f>DATE(Year+1,1,1)+IF(WEEKDAY(DATE(Year+1,1,1),2)&lt;6,0,IF(WEEKDAY(DATE(Year+1,1,1),2)=6,-1,1))</f>
        <v>44561</v>
      </c>
      <c r="C52" s="60" t="str">
        <f>C42&amp;" "&amp;(Year+1)</f>
        <v>New Years Day 2022</v>
      </c>
      <c r="D52" s="61"/>
    </row>
    <row r="53" spans="2:11" ht="15" hidden="1" x14ac:dyDescent="0.3">
      <c r="B53" s="59">
        <f>DATE(Year+1,1,21)-WEEKDAY(DATE(Year+1,1,21),3)</f>
        <v>44578</v>
      </c>
      <c r="C53" s="60" t="str">
        <f t="shared" ref="C53:C61" si="0">C43&amp;" "&amp;(Year+1)</f>
        <v>Martin Luther King Day 2022</v>
      </c>
      <c r="D53" s="61"/>
    </row>
    <row r="54" spans="2:11" ht="15" hidden="1" x14ac:dyDescent="0.3">
      <c r="B54" s="59">
        <f>DATE(Year+1,2,21)-WEEKDAY(DATE(Year+1,2,21),3)</f>
        <v>44613</v>
      </c>
      <c r="C54" s="60" t="str">
        <f t="shared" si="0"/>
        <v>President's Day 2022</v>
      </c>
      <c r="D54" s="61"/>
    </row>
    <row r="55" spans="2:11" ht="15" hidden="1" x14ac:dyDescent="0.3">
      <c r="B55" s="59">
        <f>DATE(Year+1,5,31)-WEEKDAY(DATE(Year+1,5,31),3)</f>
        <v>44711</v>
      </c>
      <c r="C55" s="60" t="str">
        <f t="shared" si="0"/>
        <v>Memorial Day 2022</v>
      </c>
      <c r="D55" s="61"/>
    </row>
    <row r="56" spans="2:11" ht="15" hidden="1" x14ac:dyDescent="0.3">
      <c r="B56" s="59">
        <f>DATE(Year+1,7,4)+IF(WEEKDAY(DATE(Year+1,7,4),2)&lt;6,0,IF(WEEKDAY(DATE(Year+1,7,4),2)=6,-1,1))</f>
        <v>44746</v>
      </c>
      <c r="C56" s="60" t="str">
        <f t="shared" si="0"/>
        <v>Independence Day 2022</v>
      </c>
      <c r="D56" s="61"/>
    </row>
    <row r="57" spans="2:11" ht="15" hidden="1" x14ac:dyDescent="0.3">
      <c r="B57" s="59">
        <f>DATE(Year+1,9,7)-WEEKDAY(DATE(Year+1,9,7),3)</f>
        <v>44809</v>
      </c>
      <c r="C57" s="60" t="str">
        <f t="shared" si="0"/>
        <v>Labor Day 2022</v>
      </c>
      <c r="D57" s="61"/>
    </row>
    <row r="58" spans="2:11" ht="15" hidden="1" x14ac:dyDescent="0.3">
      <c r="B58" s="59">
        <f>DATE(Year+1,10,14)-WEEKDAY(DATE(Year+1,10,14),3)</f>
        <v>44844</v>
      </c>
      <c r="C58" s="60" t="str">
        <f t="shared" si="0"/>
        <v>Columbus Day 2022</v>
      </c>
      <c r="D58" s="61"/>
    </row>
    <row r="59" spans="2:11" ht="15" hidden="1" x14ac:dyDescent="0.3">
      <c r="B59" s="59">
        <f>DATE(Year+1,11,11)+IF(WEEKDAY(DATE(Year+1,11,11),2)&lt;6,0,IF(WEEKDAY(DATE(Year+1,11,11),2)=6,-1,1))</f>
        <v>44876</v>
      </c>
      <c r="C59" s="60" t="str">
        <f t="shared" si="0"/>
        <v>Veteran's Day 2022</v>
      </c>
      <c r="D59" s="61"/>
    </row>
    <row r="60" spans="2:11" ht="15" hidden="1" x14ac:dyDescent="0.3">
      <c r="B60" s="59">
        <f>DATE(Year+1,11,28)-WEEKDAY(DATE(Year+1,11,25),3)</f>
        <v>44889</v>
      </c>
      <c r="C60" s="60" t="str">
        <f t="shared" si="0"/>
        <v>Thanksgiving 2022</v>
      </c>
      <c r="D60" s="61"/>
    </row>
    <row r="61" spans="2:11" ht="15" hidden="1" x14ac:dyDescent="0.3">
      <c r="B61" s="59">
        <f>DATE(Year+1,12,25)+IF(WEEKDAY(DATE(Year+1,12,25),2)&lt;6,0,IF(WEEKDAY(DATE(Year+1,12,25),2)=6,-1,1))</f>
        <v>44921</v>
      </c>
      <c r="C61" s="60" t="str">
        <f t="shared" si="0"/>
        <v>Christmas 2022</v>
      </c>
      <c r="D61" s="61"/>
    </row>
    <row r="62" spans="2:11" ht="15" hidden="1" x14ac:dyDescent="0.3">
      <c r="B62" s="59">
        <f>DATE(Year+2,1,1)+IF(WEEKDAY(DATE(Year+2,1,1),2)&lt;6,0,IF(WEEKDAY(DATE(Year+2,1,1),2)=6,-1,1))</f>
        <v>44928</v>
      </c>
      <c r="C62" s="60" t="str">
        <f>C42&amp;" "&amp;(Year+2)</f>
        <v>New Years Day 2023</v>
      </c>
      <c r="D62" s="61"/>
    </row>
    <row r="63" spans="2:11" ht="15" hidden="1" x14ac:dyDescent="0.3">
      <c r="B63" s="62">
        <f>DATE(Year+2,1,21)-WEEKDAY(DATE(Year+2,1,21),3)</f>
        <v>44942</v>
      </c>
      <c r="C63" s="63" t="str">
        <f>C43&amp;" "&amp;(Year+2)</f>
        <v>Martin Luther King Day 2023</v>
      </c>
      <c r="D63" s="64"/>
    </row>
  </sheetData>
  <sheetProtection sheet="1" selectLockedCells="1"/>
  <mergeCells count="7">
    <mergeCell ref="B38:G38"/>
    <mergeCell ref="B39:G39"/>
    <mergeCell ref="B3:G3"/>
    <mergeCell ref="B2:G2"/>
    <mergeCell ref="B36:G36"/>
    <mergeCell ref="B37:G37"/>
    <mergeCell ref="B4:G4"/>
  </mergeCells>
  <phoneticPr fontId="0" type="noConversion"/>
  <conditionalFormatting sqref="B42:B63">
    <cfRule type="cellIs" dxfId="89" priority="14" stopIfTrue="1" operator="lessThan">
      <formula>TODAY()</formula>
    </cfRule>
  </conditionalFormatting>
  <conditionalFormatting sqref="C42:C63">
    <cfRule type="expression" dxfId="88" priority="15" stopIfTrue="1">
      <formula>B42&lt;TODAY()</formula>
    </cfRule>
  </conditionalFormatting>
  <conditionalFormatting sqref="D15">
    <cfRule type="cellIs" dxfId="87" priority="16" stopIfTrue="1" operator="between">
      <formula>$I$14</formula>
      <formula>$J$14</formula>
    </cfRule>
  </conditionalFormatting>
  <conditionalFormatting sqref="F28 F10">
    <cfRule type="expression" dxfId="86" priority="17" stopIfTrue="1">
      <formula>F9&lt;&gt;H9</formula>
    </cfRule>
    <cfRule type="expression" dxfId="85" priority="18" stopIfTrue="1">
      <formula>D9-D12&lt;&gt;F9</formula>
    </cfRule>
  </conditionalFormatting>
  <conditionalFormatting sqref="B38:G38">
    <cfRule type="expression" dxfId="84" priority="19" stopIfTrue="1">
      <formula>AND($D$15&gt;=$I$14,$D$15&lt;=$J$14)</formula>
    </cfRule>
  </conditionalFormatting>
  <conditionalFormatting sqref="F16 F13">
    <cfRule type="expression" dxfId="83" priority="20" stopIfTrue="1">
      <formula>F11&lt;&gt;H12</formula>
    </cfRule>
    <cfRule type="expression" dxfId="82" priority="21" stopIfTrue="1">
      <formula>D12-D15&lt;&gt;F11</formula>
    </cfRule>
  </conditionalFormatting>
  <conditionalFormatting sqref="B42:B63">
    <cfRule type="cellIs" dxfId="81" priority="13" stopIfTrue="1" operator="lessThan">
      <formula>TODAY()</formula>
    </cfRule>
  </conditionalFormatting>
  <conditionalFormatting sqref="C42:C63">
    <cfRule type="expression" dxfId="80" priority="12" stopIfTrue="1">
      <formula>B42&lt;TODAY()</formula>
    </cfRule>
  </conditionalFormatting>
  <conditionalFormatting sqref="E6">
    <cfRule type="expression" dxfId="79" priority="7">
      <formula>AND($D$6&gt;0,$D$9&gt;$D$6)</formula>
    </cfRule>
  </conditionalFormatting>
  <conditionalFormatting sqref="D6">
    <cfRule type="expression" dxfId="78" priority="5">
      <formula>AND($D$6&gt;0,$D$9&gt;$D$6)</formula>
    </cfRule>
  </conditionalFormatting>
  <conditionalFormatting sqref="F19">
    <cfRule type="expression" dxfId="77" priority="42" stopIfTrue="1">
      <formula>F18&lt;&gt;H18</formula>
    </cfRule>
    <cfRule type="expression" dxfId="76" priority="43" stopIfTrue="1">
      <formula>D18-D27&lt;&gt;F18</formula>
    </cfRule>
  </conditionalFormatting>
  <conditionalFormatting sqref="F22">
    <cfRule type="expression" dxfId="75" priority="3" stopIfTrue="1">
      <formula>F21&lt;&gt;H21</formula>
    </cfRule>
    <cfRule type="expression" dxfId="74" priority="4" stopIfTrue="1">
      <formula>D21-D24&lt;&gt;F21</formula>
    </cfRule>
  </conditionalFormatting>
  <conditionalFormatting sqref="F25">
    <cfRule type="expression" dxfId="73" priority="1" stopIfTrue="1">
      <formula>F24&lt;&gt;H24</formula>
    </cfRule>
    <cfRule type="expression" dxfId="72" priority="2" stopIfTrue="1">
      <formula>D24-D27&lt;&gt;F24</formula>
    </cfRule>
  </conditionalFormatting>
  <printOptions horizontalCentered="1"/>
  <pageMargins left="0.75" right="0.75" top="0.6" bottom="0.6" header="0.5" footer="0.5"/>
  <pageSetup orientation="landscape" horizontalDpi="4294967292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showGridLines="0" workbookViewId="0">
      <selection activeCell="B4" sqref="B4:G4"/>
    </sheetView>
  </sheetViews>
  <sheetFormatPr defaultColWidth="9.7109375" defaultRowHeight="12.75" x14ac:dyDescent="0.2"/>
  <cols>
    <col min="1" max="1" width="3.7109375" style="3" customWidth="1"/>
    <col min="2" max="2" width="16.7109375" style="3" customWidth="1"/>
    <col min="3" max="3" width="21.7109375" style="3" customWidth="1"/>
    <col min="4" max="4" width="14.7109375" style="3" customWidth="1"/>
    <col min="5" max="6" width="6.7109375" style="3" customWidth="1"/>
    <col min="7" max="7" width="50.7109375" style="3" customWidth="1"/>
    <col min="8" max="8" width="9.7109375" style="3" hidden="1" customWidth="1"/>
    <col min="9" max="10" width="14.7109375" style="3" hidden="1" customWidth="1"/>
    <col min="11" max="11" width="24.7109375" style="3" hidden="1" customWidth="1"/>
    <col min="12" max="12" width="9.7109375" style="3"/>
    <col min="13" max="13" width="9.140625" customWidth="1"/>
    <col min="14" max="16384" width="9.7109375" style="3"/>
  </cols>
  <sheetData>
    <row r="2" spans="2:10" ht="23.25" x14ac:dyDescent="0.35">
      <c r="B2" s="74" t="s">
        <v>22</v>
      </c>
      <c r="C2" s="74"/>
      <c r="D2" s="74"/>
      <c r="E2" s="74"/>
      <c r="F2" s="74"/>
      <c r="G2" s="74"/>
    </row>
    <row r="3" spans="2:10" ht="23.25" x14ac:dyDescent="0.35">
      <c r="B3" s="74" t="s">
        <v>8</v>
      </c>
      <c r="C3" s="74"/>
      <c r="D3" s="74"/>
      <c r="E3" s="74"/>
      <c r="F3" s="74"/>
      <c r="G3" s="74"/>
      <c r="H3" s="4"/>
    </row>
    <row r="4" spans="2:10" ht="23.25" customHeight="1" x14ac:dyDescent="0.35">
      <c r="B4" s="76" t="s">
        <v>69</v>
      </c>
      <c r="C4" s="76"/>
      <c r="D4" s="76"/>
      <c r="E4" s="76"/>
      <c r="F4" s="76"/>
      <c r="G4" s="76"/>
      <c r="H4" s="53" t="s">
        <v>70</v>
      </c>
    </row>
    <row r="5" spans="2:10" ht="12.75" customHeight="1" x14ac:dyDescent="0.2">
      <c r="B5" s="12"/>
      <c r="C5" s="12"/>
      <c r="D5" s="25"/>
      <c r="E5" s="13"/>
      <c r="F5" s="13"/>
      <c r="G5" s="13"/>
      <c r="H5" s="53"/>
    </row>
    <row r="6" spans="2:10" ht="16.5" customHeight="1" thickBot="1" x14ac:dyDescent="0.25">
      <c r="B6" s="14" t="s">
        <v>72</v>
      </c>
      <c r="C6" s="12"/>
      <c r="D6" s="68"/>
      <c r="E6" s="69" t="str">
        <f>"  &lt;-- "&amp;IF(AND($D$6&gt;0,$D$9&gt;$D$6),"Date cannot be prior to calculated NTP date","Optional desired NTP date")</f>
        <v xml:space="preserve">  &lt;-- Optional desired NTP date</v>
      </c>
      <c r="F6" s="13"/>
      <c r="G6" s="13"/>
      <c r="H6" s="53"/>
    </row>
    <row r="7" spans="2:10" ht="12.75" customHeight="1" x14ac:dyDescent="0.2">
      <c r="B7" s="8"/>
      <c r="C7" s="8"/>
      <c r="D7" s="26"/>
      <c r="E7" s="10"/>
      <c r="F7" s="10"/>
      <c r="G7" s="10"/>
      <c r="H7" s="53"/>
    </row>
    <row r="8" spans="2:10" x14ac:dyDescent="0.2">
      <c r="B8" s="12"/>
      <c r="C8" s="13"/>
      <c r="D8" s="13"/>
      <c r="E8" s="13"/>
      <c r="F8" s="13"/>
      <c r="G8" s="27" t="str">
        <f>IF(D9&gt;MAX(Holidays),"Warning! Last date beyond last calculated holiday.","")</f>
        <v/>
      </c>
      <c r="H8" s="52"/>
      <c r="J8" s="28"/>
    </row>
    <row r="9" spans="2:10" ht="13.5" thickBot="1" x14ac:dyDescent="0.25">
      <c r="B9" s="14" t="s">
        <v>4</v>
      </c>
      <c r="C9" s="23"/>
      <c r="D9" s="29">
        <f>WORKDAY(D12+F9,IF(OR(WEEKDAY(D12+F9,2)&gt;5,ISNUMBER(MATCH(D12+F9,Holidays,0))),1,0),Holidays)</f>
        <v>44377</v>
      </c>
      <c r="E9" s="13"/>
      <c r="F9" s="16">
        <f>3*7</f>
        <v>21</v>
      </c>
      <c r="G9" s="13" t="s">
        <v>71</v>
      </c>
      <c r="H9" s="52">
        <f>3*7</f>
        <v>21</v>
      </c>
    </row>
    <row r="10" spans="2:10" x14ac:dyDescent="0.2">
      <c r="B10" s="8"/>
      <c r="C10" s="24"/>
      <c r="D10" s="2"/>
      <c r="E10" s="10"/>
      <c r="F10" s="17" t="str">
        <f>IF(F9&lt;&gt;H9,"Standard "&amp;H9&amp;" days has been changed.  ","")&amp;IF(D9-D12&lt;&gt;F9,"("&amp;D9-D12&amp;" days used)","")</f>
        <v/>
      </c>
      <c r="G10" s="10"/>
      <c r="H10" s="54"/>
    </row>
    <row r="11" spans="2:10" x14ac:dyDescent="0.2">
      <c r="B11" s="12"/>
      <c r="C11" s="12"/>
      <c r="D11" s="25"/>
      <c r="E11" s="13"/>
      <c r="F11" s="16">
        <v>21</v>
      </c>
      <c r="G11" s="13" t="s">
        <v>23</v>
      </c>
      <c r="H11" s="52"/>
      <c r="J11" s="30"/>
    </row>
    <row r="12" spans="2:10" x14ac:dyDescent="0.2">
      <c r="B12" s="14" t="s">
        <v>0</v>
      </c>
      <c r="C12" s="12"/>
      <c r="D12" s="31">
        <f>WORKDAY(D15+F11,IF(OR(WEEKDAY(D15+F11,2)&gt;5,ISNUMBER(MATCH(D15+F11,Holidays,0))),1,0),Holidays)</f>
        <v>44356</v>
      </c>
      <c r="E12" s="15"/>
      <c r="F12" s="21"/>
      <c r="G12" s="13" t="s">
        <v>26</v>
      </c>
      <c r="H12" s="52">
        <v>21</v>
      </c>
    </row>
    <row r="13" spans="2:10" x14ac:dyDescent="0.2">
      <c r="B13" s="8"/>
      <c r="C13" s="8"/>
      <c r="D13" s="26"/>
      <c r="E13" s="10"/>
      <c r="F13" s="17" t="str">
        <f>IF(F11&lt;&gt;H12,"Standard "&amp;H12&amp;" days has been changed.  ","")&amp;IF(D12-D15&lt;&gt;F11,"("&amp;D12-D15&amp;" days used)","")</f>
        <v/>
      </c>
      <c r="G13" s="10"/>
      <c r="H13" s="54"/>
      <c r="J13" s="32"/>
    </row>
    <row r="14" spans="2:10" x14ac:dyDescent="0.2">
      <c r="B14" s="12"/>
      <c r="C14" s="12"/>
      <c r="D14" s="25"/>
      <c r="E14" s="13"/>
      <c r="F14" s="40"/>
      <c r="G14" s="13"/>
      <c r="H14" s="52"/>
      <c r="J14" s="32"/>
    </row>
    <row r="15" spans="2:10" x14ac:dyDescent="0.2">
      <c r="B15" s="14" t="s">
        <v>10</v>
      </c>
      <c r="C15" s="12"/>
      <c r="D15" s="31">
        <f>WORKDAY(D18+F15,IF(OR(WEEKDAY(D18+F15,2)&gt;5,ISNUMBER(MATCH(D18+F15,Holidays,0))),1,0),Holidays)</f>
        <v>44335</v>
      </c>
      <c r="E15" s="13"/>
      <c r="F15" s="16">
        <v>21</v>
      </c>
      <c r="G15" s="13" t="s">
        <v>65</v>
      </c>
      <c r="H15" s="52">
        <f>3*7</f>
        <v>21</v>
      </c>
      <c r="J15" s="32"/>
    </row>
    <row r="16" spans="2:10" x14ac:dyDescent="0.2">
      <c r="B16" s="8"/>
      <c r="C16" s="8"/>
      <c r="D16" s="26"/>
      <c r="E16" s="11"/>
      <c r="F16" s="17" t="str">
        <f>IF(F15&lt;&gt;H15,"Standard "&amp;H15&amp;" days has been changed.  ","")&amp;IF(D15-D18&lt;&gt;F15,"("&amp;D15-D18&amp;" days used)","")</f>
        <v/>
      </c>
      <c r="G16" s="10"/>
      <c r="H16" s="54"/>
      <c r="J16" s="32"/>
    </row>
    <row r="17" spans="2:11" x14ac:dyDescent="0.2">
      <c r="B17" s="12"/>
      <c r="C17" s="12"/>
      <c r="D17" s="25"/>
      <c r="E17" s="13"/>
      <c r="F17" s="40"/>
      <c r="G17" s="13"/>
      <c r="H17" s="52"/>
      <c r="I17" s="46">
        <f>INDEX(Holidays,MATCH(DATE(YEAR(D18),12,1),Holidays))</f>
        <v>44525</v>
      </c>
      <c r="J17" s="47">
        <f>WORKDAY(DATE(YEAR(D18),12,31),VLOOKUP(WEEKDAY(DATE(YEAR(D18),12,25)),Christmas,3,0),Holidays)-1</f>
        <v>44563</v>
      </c>
      <c r="K17" s="48" t="s">
        <v>60</v>
      </c>
    </row>
    <row r="18" spans="2:11" x14ac:dyDescent="0.2">
      <c r="B18" s="14" t="s">
        <v>6</v>
      </c>
      <c r="C18" s="12"/>
      <c r="D18" s="33">
        <f>WORKDAY(J18,IF(J18-INDEX(Holidays,MATCH(J18,Holidays))&lt;2,1,0),Holidays)</f>
        <v>44314</v>
      </c>
      <c r="E18" s="15"/>
      <c r="F18" s="16">
        <v>30</v>
      </c>
      <c r="G18" s="13" t="s">
        <v>19</v>
      </c>
      <c r="H18" s="52">
        <v>30</v>
      </c>
      <c r="I18" s="49">
        <f>D21+F18+IF(WORKDAY(DATE(YEAR(D21),12,24),-1,Holidays)-D21&lt;F18,VLOOKUP(WEEKDAY(DATE(YEAR(D21),12,25)),Christmas,2,0),0)</f>
        <v>44314</v>
      </c>
      <c r="J18" s="50">
        <f>WORKDAY(I18,IF(AND(WEEKDAY(I18,2)=4,ISNUMBER(MATCH(I18,Holidays,0))),3,IF(OR(AND(WEEKDAY(I18,2)=5,ISNUMBER(MATCH(I18,Holidays,0))),WEEKDAY(I18,2)&gt;5),2,IF(OR(WEEKDAY(I18,2)=1,ISNUMBER(MATCH(I18,Holidays,0))),1,0))),Holidays)</f>
        <v>44314</v>
      </c>
      <c r="K18" s="55"/>
    </row>
    <row r="19" spans="2:11" x14ac:dyDescent="0.2">
      <c r="B19" s="8"/>
      <c r="C19" s="8"/>
      <c r="D19" s="26"/>
      <c r="E19" s="11"/>
      <c r="F19" s="17" t="str">
        <f>IF(F18&lt;&gt;H18,"Standard "&amp;H18&amp;" days has been changed.  ","")&amp;IF(D18-D21&lt;&gt;F18,"("&amp;D18-D21&amp;" days used)","")</f>
        <v/>
      </c>
      <c r="G19" s="10"/>
      <c r="H19" s="54"/>
      <c r="I19" s="45" t="s">
        <v>57</v>
      </c>
      <c r="J19" s="51" t="s">
        <v>58</v>
      </c>
      <c r="K19" s="55"/>
    </row>
    <row r="20" spans="2:11" x14ac:dyDescent="0.2">
      <c r="B20" s="12"/>
      <c r="C20" s="12"/>
      <c r="D20" s="25"/>
      <c r="E20" s="13"/>
      <c r="F20" s="13"/>
      <c r="G20" s="21"/>
      <c r="H20" s="52"/>
    </row>
    <row r="21" spans="2:11" x14ac:dyDescent="0.2">
      <c r="B21" s="14" t="s">
        <v>2</v>
      </c>
      <c r="C21" s="12"/>
      <c r="D21" s="31">
        <f>WORKDAY(D24+F21,IF(OR(WEEKDAY(D24+F21,2)&gt;5,ISNUMBER(MATCH(D24+F21,Holidays,0))),1,0),Holidays)</f>
        <v>44284</v>
      </c>
      <c r="E21" s="15"/>
      <c r="F21" s="16">
        <v>14</v>
      </c>
      <c r="G21" s="13" t="s">
        <v>14</v>
      </c>
      <c r="H21" s="52">
        <v>14</v>
      </c>
      <c r="J21" s="34"/>
    </row>
    <row r="22" spans="2:11" x14ac:dyDescent="0.2">
      <c r="B22" s="8"/>
      <c r="C22" s="8"/>
      <c r="D22" s="26"/>
      <c r="E22" s="11"/>
      <c r="F22" s="17" t="str">
        <f>IF(F21&lt;&gt;H21,"Standard "&amp;H21&amp;" days has been changed.  ","")&amp;IF(D21-D24&lt;&gt;F21,"("&amp;D21-D24&amp;" days used)","")</f>
        <v/>
      </c>
      <c r="G22" s="10"/>
      <c r="H22" s="54"/>
    </row>
    <row r="23" spans="2:11" x14ac:dyDescent="0.2">
      <c r="B23" s="12"/>
      <c r="C23" s="12"/>
      <c r="D23" s="25"/>
      <c r="E23" s="15"/>
      <c r="F23" s="15"/>
      <c r="G23" s="21"/>
      <c r="H23" s="70"/>
    </row>
    <row r="24" spans="2:11" x14ac:dyDescent="0.2">
      <c r="B24" s="14" t="s">
        <v>5</v>
      </c>
      <c r="C24" s="12"/>
      <c r="D24" s="31">
        <f>WORKDAY(D27+F24,IF(OR(WEEKDAY(D27+F24,2)&gt;5,ISNUMBER(MATCH(D27+F24,Holidays,0))),1,0),Holidays)</f>
        <v>44270</v>
      </c>
      <c r="E24" s="15"/>
      <c r="F24" s="16">
        <v>0</v>
      </c>
      <c r="G24" s="13" t="s">
        <v>77</v>
      </c>
      <c r="H24" s="70">
        <v>0</v>
      </c>
    </row>
    <row r="25" spans="2:11" x14ac:dyDescent="0.2">
      <c r="B25" s="8"/>
      <c r="C25" s="8"/>
      <c r="D25" s="26"/>
      <c r="E25" s="11"/>
      <c r="F25" s="17" t="str">
        <f>IF(F24&lt;&gt;H24,"Standard "&amp;H24&amp;" days has been changed.  ","")&amp;IF(D24-D27&lt;&gt;F24,"("&amp;D24-D27&amp;" days used)","")</f>
        <v/>
      </c>
      <c r="G25" s="10"/>
      <c r="H25" s="70"/>
    </row>
    <row r="26" spans="2:11" x14ac:dyDescent="0.2">
      <c r="B26" s="12"/>
      <c r="C26" s="12"/>
      <c r="D26" s="25"/>
      <c r="E26" s="15"/>
      <c r="F26" s="15"/>
      <c r="G26" s="21"/>
      <c r="H26" s="70"/>
    </row>
    <row r="27" spans="2:11" x14ac:dyDescent="0.2">
      <c r="B27" s="14" t="s">
        <v>74</v>
      </c>
      <c r="C27" s="12"/>
      <c r="D27" s="31">
        <f>WORKDAY(D30+F27,IF(OR(WEEKDAY(D30+F27,2)&gt;5,ISNUMBER(MATCH(D30+F27,Holidays,0))),1,0),Holidays)</f>
        <v>44270</v>
      </c>
      <c r="E27" s="15"/>
      <c r="F27" s="16">
        <v>7</v>
      </c>
      <c r="G27" s="13" t="s">
        <v>76</v>
      </c>
      <c r="H27" s="70">
        <v>7</v>
      </c>
    </row>
    <row r="28" spans="2:11" x14ac:dyDescent="0.2">
      <c r="B28" s="8"/>
      <c r="C28" s="8"/>
      <c r="D28" s="26"/>
      <c r="E28" s="11"/>
      <c r="F28" s="17" t="str">
        <f>IF(F27&lt;&gt;H27,"Standard "&amp;H27&amp;" days has been changed.  ","")&amp;IF(D27-D30&lt;&gt;F27,"("&amp;D27-D30&amp;" days used)","")</f>
        <v/>
      </c>
      <c r="G28" s="10"/>
      <c r="H28" s="70"/>
    </row>
    <row r="29" spans="2:11" x14ac:dyDescent="0.2">
      <c r="B29" s="12"/>
      <c r="C29" s="12"/>
      <c r="D29" s="25"/>
      <c r="E29" s="15"/>
      <c r="F29" s="15"/>
      <c r="G29" s="21"/>
      <c r="H29" s="52"/>
    </row>
    <row r="30" spans="2:11" x14ac:dyDescent="0.2">
      <c r="B30" s="14" t="s">
        <v>73</v>
      </c>
      <c r="C30" s="12"/>
      <c r="D30" s="31">
        <f>WORKDAY(Arrives+F30,IF(OR(WEEKDAY(Arrives+F30,2)&gt;5,ISNUMBER(MATCH(Arrives+F30,Holidays,0))),1,0),Holidays)</f>
        <v>44263</v>
      </c>
      <c r="E30" s="15"/>
      <c r="F30" s="16">
        <v>7</v>
      </c>
      <c r="G30" s="13" t="s">
        <v>75</v>
      </c>
      <c r="H30" s="52">
        <v>7</v>
      </c>
    </row>
    <row r="31" spans="2:11" x14ac:dyDescent="0.2">
      <c r="B31" s="8"/>
      <c r="C31" s="8"/>
      <c r="D31" s="26"/>
      <c r="E31" s="11"/>
      <c r="F31" s="17" t="str">
        <f>IF(F30&lt;&gt;H30,"Standard "&amp;H30&amp;" days has been changed.  ","")&amp;IF(D30-D33&lt;&gt;F30,"("&amp;D30-D33&amp;" days used)","")</f>
        <v/>
      </c>
      <c r="G31" s="10"/>
      <c r="H31" s="54"/>
    </row>
    <row r="32" spans="2:11" x14ac:dyDescent="0.2">
      <c r="B32" s="12"/>
      <c r="C32" s="12"/>
      <c r="D32" s="25"/>
      <c r="E32" s="15"/>
      <c r="F32" s="15"/>
      <c r="G32" s="21"/>
    </row>
    <row r="33" spans="2:11" ht="16.5" thickBot="1" x14ac:dyDescent="0.3">
      <c r="B33" s="14" t="s">
        <v>3</v>
      </c>
      <c r="C33" s="7">
        <f>Arrives</f>
        <v>44256</v>
      </c>
      <c r="D33" s="6">
        <v>44256</v>
      </c>
      <c r="E33" s="22" t="s">
        <v>56</v>
      </c>
      <c r="F33" s="5"/>
      <c r="G33" s="5"/>
    </row>
    <row r="34" spans="2:11" x14ac:dyDescent="0.2">
      <c r="B34" s="8"/>
      <c r="C34" s="9"/>
      <c r="D34" s="10"/>
      <c r="E34" s="11"/>
      <c r="F34" s="11"/>
      <c r="G34" s="10"/>
    </row>
    <row r="35" spans="2:11" x14ac:dyDescent="0.2">
      <c r="B35" s="13"/>
      <c r="C35" s="13"/>
      <c r="D35" s="13"/>
      <c r="E35" s="15"/>
      <c r="F35" s="15"/>
      <c r="G35" s="13"/>
    </row>
    <row r="36" spans="2:11" x14ac:dyDescent="0.2">
      <c r="B36" s="14" t="s">
        <v>24</v>
      </c>
      <c r="C36" s="13"/>
      <c r="D36" s="13"/>
      <c r="E36" s="15"/>
      <c r="F36" s="15"/>
      <c r="G36" s="13"/>
    </row>
    <row r="37" spans="2:11" x14ac:dyDescent="0.2">
      <c r="B37" s="13"/>
      <c r="C37" s="13"/>
      <c r="D37" s="13"/>
      <c r="E37" s="15"/>
      <c r="F37" s="15"/>
      <c r="G37" s="13"/>
    </row>
    <row r="38" spans="2:11" ht="15.75" x14ac:dyDescent="0.25">
      <c r="B38" s="18" t="s">
        <v>15</v>
      </c>
      <c r="C38" s="13"/>
      <c r="D38" s="13"/>
      <c r="E38" s="13"/>
      <c r="F38" s="13"/>
      <c r="G38" s="13"/>
    </row>
    <row r="39" spans="2:11" ht="12.75" customHeight="1" x14ac:dyDescent="0.2">
      <c r="B39" s="75" t="s">
        <v>16</v>
      </c>
      <c r="C39" s="75"/>
      <c r="D39" s="75"/>
      <c r="E39" s="75"/>
      <c r="F39" s="75"/>
      <c r="G39" s="75"/>
    </row>
    <row r="40" spans="2:11" x14ac:dyDescent="0.2">
      <c r="B40" s="71" t="s">
        <v>62</v>
      </c>
      <c r="C40" s="75"/>
      <c r="D40" s="75"/>
      <c r="E40" s="75"/>
      <c r="F40" s="75"/>
      <c r="G40" s="75"/>
    </row>
    <row r="41" spans="2:11" ht="12.75" customHeight="1" x14ac:dyDescent="0.2">
      <c r="B41" s="71" t="s">
        <v>63</v>
      </c>
      <c r="C41" s="71"/>
      <c r="D41" s="71"/>
      <c r="E41" s="71"/>
      <c r="F41" s="71"/>
      <c r="G41" s="71"/>
      <c r="I41" s="35"/>
    </row>
    <row r="42" spans="2:11" ht="25.5" customHeight="1" x14ac:dyDescent="0.2">
      <c r="B42" s="72" t="str">
        <f>"If the advertisement period includes the Christmas/New Year Holiday period, 7 to 14 days will need to be added to the advertisement period"&amp;IF(YEAR(D18)&lt;&gt;YEAR(D21)," ("&amp;D18-D21-F18&amp;" days were added for holiday period)","")&amp;"."</f>
        <v>If the advertisement period includes the Christmas/New Year Holiday period, 7 to 14 days will need to be added to the advertisement period.</v>
      </c>
      <c r="C42" s="73"/>
      <c r="D42" s="73"/>
      <c r="E42" s="73"/>
      <c r="F42" s="73"/>
      <c r="G42" s="73"/>
      <c r="I42" s="35"/>
    </row>
    <row r="43" spans="2:11" x14ac:dyDescent="0.2">
      <c r="B43" s="19" t="s">
        <v>17</v>
      </c>
      <c r="C43" s="20"/>
      <c r="D43" s="20"/>
      <c r="E43" s="20"/>
      <c r="F43" s="20"/>
      <c r="G43" s="20"/>
    </row>
    <row r="44" spans="2:11" ht="16.5" hidden="1" x14ac:dyDescent="0.35">
      <c r="B44" s="65">
        <f>YEAR(Arrives)</f>
        <v>2021</v>
      </c>
      <c r="C44" s="66"/>
      <c r="D44" s="67"/>
    </row>
    <row r="45" spans="2:11" ht="15" hidden="1" x14ac:dyDescent="0.3">
      <c r="B45" s="56">
        <f>DATE(Year,1,1)+IF(WEEKDAY(DATE(Year,1,1),2)&lt;6,0,IF(WEEKDAY(DATE(Year,1,1),2)=6,-1,1))</f>
        <v>44197</v>
      </c>
      <c r="C45" s="57" t="s">
        <v>27</v>
      </c>
      <c r="D45" s="58"/>
      <c r="G45"/>
      <c r="H45"/>
      <c r="I45"/>
      <c r="J45"/>
      <c r="K45"/>
    </row>
    <row r="46" spans="2:11" ht="15" hidden="1" x14ac:dyDescent="0.3">
      <c r="B46" s="59">
        <f>DATE(Year,1,21)-WEEKDAY(DATE(Year,1,21),3)</f>
        <v>44214</v>
      </c>
      <c r="C46" s="60" t="s">
        <v>28</v>
      </c>
      <c r="D46" s="61"/>
      <c r="G46"/>
      <c r="H46"/>
      <c r="I46"/>
      <c r="J46"/>
      <c r="K46"/>
    </row>
    <row r="47" spans="2:11" ht="15" hidden="1" x14ac:dyDescent="0.3">
      <c r="B47" s="59">
        <f>DATE(Year,2,21)-WEEKDAY(DATE(Year,2,21),3)</f>
        <v>44242</v>
      </c>
      <c r="C47" s="60" t="s">
        <v>29</v>
      </c>
      <c r="D47" s="61"/>
      <c r="G47"/>
      <c r="H47"/>
      <c r="I47"/>
      <c r="J47"/>
      <c r="K47"/>
    </row>
    <row r="48" spans="2:11" ht="15" hidden="1" x14ac:dyDescent="0.3">
      <c r="B48" s="59">
        <f>DATE(Year,5,31)-WEEKDAY(DATE(Year,5,31),3)</f>
        <v>44347</v>
      </c>
      <c r="C48" s="60" t="s">
        <v>30</v>
      </c>
      <c r="D48" s="61"/>
      <c r="G48"/>
      <c r="H48"/>
      <c r="I48"/>
      <c r="J48"/>
      <c r="K48"/>
    </row>
    <row r="49" spans="2:11" ht="15" hidden="1" x14ac:dyDescent="0.3">
      <c r="B49" s="59">
        <f>DATE(Year,7,4)+IF(WEEKDAY(DATE(Year,7,4),2)&lt;6,0,IF(WEEKDAY(DATE(Year,7,4),2)=6,-1,1))</f>
        <v>44382</v>
      </c>
      <c r="C49" s="60" t="s">
        <v>31</v>
      </c>
      <c r="D49" s="61"/>
      <c r="G49"/>
      <c r="H49"/>
      <c r="I49"/>
      <c r="J49"/>
      <c r="K49"/>
    </row>
    <row r="50" spans="2:11" ht="15" hidden="1" x14ac:dyDescent="0.3">
      <c r="B50" s="59">
        <f>DATE(Year,9,7)-WEEKDAY(DATE(Year,9,7),3)</f>
        <v>44445</v>
      </c>
      <c r="C50" s="60" t="s">
        <v>32</v>
      </c>
      <c r="D50" s="61"/>
      <c r="G50"/>
      <c r="H50"/>
      <c r="I50"/>
      <c r="J50"/>
      <c r="K50"/>
    </row>
    <row r="51" spans="2:11" ht="15" hidden="1" x14ac:dyDescent="0.3">
      <c r="B51" s="59">
        <f>DATE(Year,10,14)-WEEKDAY(DATE(Year,10,14),3)</f>
        <v>44480</v>
      </c>
      <c r="C51" s="60" t="s">
        <v>33</v>
      </c>
      <c r="D51" s="61"/>
      <c r="G51"/>
      <c r="H51"/>
      <c r="I51"/>
      <c r="J51"/>
      <c r="K51"/>
    </row>
    <row r="52" spans="2:11" ht="15" hidden="1" x14ac:dyDescent="0.3">
      <c r="B52" s="59">
        <f>DATE(Year,11,11)+IF(WEEKDAY(DATE(Year,11,11),2)&lt;6,0,IF(WEEKDAY(DATE(Year,11,11),2)=6,-1,1))</f>
        <v>44511</v>
      </c>
      <c r="C52" s="60" t="s">
        <v>34</v>
      </c>
      <c r="D52" s="61"/>
      <c r="G52"/>
      <c r="H52"/>
      <c r="I52"/>
      <c r="J52"/>
      <c r="K52"/>
    </row>
    <row r="53" spans="2:11" ht="15" hidden="1" x14ac:dyDescent="0.3">
      <c r="B53" s="59">
        <f>DATE(Year,11,28)-WEEKDAY(DATE(Year,11,25),3)</f>
        <v>44525</v>
      </c>
      <c r="C53" s="60" t="s">
        <v>35</v>
      </c>
      <c r="D53" s="61"/>
      <c r="G53"/>
      <c r="H53"/>
      <c r="I53"/>
      <c r="J53"/>
      <c r="K53"/>
    </row>
    <row r="54" spans="2:11" ht="15" hidden="1" x14ac:dyDescent="0.3">
      <c r="B54" s="59">
        <f>DATE(Year,12,25)+IF(WEEKDAY(DATE(Year,12,25),2)&lt;6,0,IF(WEEKDAY(DATE(Year,12,25),2)=6,-1,1))</f>
        <v>44554</v>
      </c>
      <c r="C54" s="60" t="s">
        <v>36</v>
      </c>
      <c r="D54" s="61"/>
    </row>
    <row r="55" spans="2:11" ht="15" hidden="1" x14ac:dyDescent="0.3">
      <c r="B55" s="59">
        <f>DATE(Year+1,1,1)+IF(WEEKDAY(DATE(Year+1,1,1),2)&lt;6,0,IF(WEEKDAY(DATE(Year+1,1,1),2)=6,-1,1))</f>
        <v>44561</v>
      </c>
      <c r="C55" s="60" t="str">
        <f>C45&amp;" "&amp;(Year+1)</f>
        <v>New Years Day 2022</v>
      </c>
      <c r="D55" s="61"/>
    </row>
    <row r="56" spans="2:11" ht="15" hidden="1" x14ac:dyDescent="0.3">
      <c r="B56" s="59">
        <f>DATE(Year+1,1,21)-WEEKDAY(DATE(Year+1,1,21),3)</f>
        <v>44578</v>
      </c>
      <c r="C56" s="60" t="str">
        <f t="shared" ref="C56:C64" si="0">C46&amp;" "&amp;(Year+1)</f>
        <v>Martin Luther King Day 2022</v>
      </c>
      <c r="D56" s="61"/>
    </row>
    <row r="57" spans="2:11" ht="15" hidden="1" x14ac:dyDescent="0.3">
      <c r="B57" s="59">
        <f>DATE(Year+1,2,21)-WEEKDAY(DATE(Year+1,2,21),3)</f>
        <v>44613</v>
      </c>
      <c r="C57" s="60" t="str">
        <f t="shared" si="0"/>
        <v>President's Day 2022</v>
      </c>
      <c r="D57" s="61"/>
    </row>
    <row r="58" spans="2:11" ht="15" hidden="1" x14ac:dyDescent="0.3">
      <c r="B58" s="59">
        <f>DATE(Year+1,5,31)-WEEKDAY(DATE(Year+1,5,31),3)</f>
        <v>44711</v>
      </c>
      <c r="C58" s="60" t="str">
        <f t="shared" si="0"/>
        <v>Memorial Day 2022</v>
      </c>
      <c r="D58" s="61"/>
    </row>
    <row r="59" spans="2:11" ht="15" hidden="1" x14ac:dyDescent="0.3">
      <c r="B59" s="59">
        <f>DATE(Year+1,7,4)+IF(WEEKDAY(DATE(Year+1,7,4),2)&lt;6,0,IF(WEEKDAY(DATE(Year+1,7,4),2)=6,-1,1))</f>
        <v>44746</v>
      </c>
      <c r="C59" s="60" t="str">
        <f t="shared" si="0"/>
        <v>Independence Day 2022</v>
      </c>
      <c r="D59" s="61"/>
    </row>
    <row r="60" spans="2:11" ht="15" hidden="1" x14ac:dyDescent="0.3">
      <c r="B60" s="59">
        <f>DATE(Year+1,9,7)-WEEKDAY(DATE(Year+1,9,7),3)</f>
        <v>44809</v>
      </c>
      <c r="C60" s="60" t="str">
        <f t="shared" si="0"/>
        <v>Labor Day 2022</v>
      </c>
      <c r="D60" s="61"/>
    </row>
    <row r="61" spans="2:11" ht="15" hidden="1" x14ac:dyDescent="0.3">
      <c r="B61" s="59">
        <f>DATE(Year+1,10,14)-WEEKDAY(DATE(Year+1,10,14),3)</f>
        <v>44844</v>
      </c>
      <c r="C61" s="60" t="str">
        <f t="shared" si="0"/>
        <v>Columbus Day 2022</v>
      </c>
      <c r="D61" s="61"/>
    </row>
    <row r="62" spans="2:11" ht="15" hidden="1" x14ac:dyDescent="0.3">
      <c r="B62" s="59">
        <f>DATE(Year+1,11,11)+IF(WEEKDAY(DATE(Year+1,11,11),2)&lt;6,0,IF(WEEKDAY(DATE(Year+1,11,11),2)=6,-1,1))</f>
        <v>44876</v>
      </c>
      <c r="C62" s="60" t="str">
        <f t="shared" si="0"/>
        <v>Veteran's Day 2022</v>
      </c>
      <c r="D62" s="61"/>
    </row>
    <row r="63" spans="2:11" ht="15" hidden="1" x14ac:dyDescent="0.3">
      <c r="B63" s="59">
        <f>DATE(Year+1,11,28)-WEEKDAY(DATE(Year+1,11,25),3)</f>
        <v>44889</v>
      </c>
      <c r="C63" s="60" t="str">
        <f t="shared" si="0"/>
        <v>Thanksgiving 2022</v>
      </c>
      <c r="D63" s="61"/>
    </row>
    <row r="64" spans="2:11" ht="15" hidden="1" x14ac:dyDescent="0.3">
      <c r="B64" s="59">
        <f>DATE(Year+1,12,25)+IF(WEEKDAY(DATE(Year+1,12,25),2)&lt;6,0,IF(WEEKDAY(DATE(Year+1,12,25),2)=6,-1,1))</f>
        <v>44921</v>
      </c>
      <c r="C64" s="60" t="str">
        <f t="shared" si="0"/>
        <v>Christmas 2022</v>
      </c>
      <c r="D64" s="61"/>
    </row>
    <row r="65" spans="2:4" ht="15" hidden="1" x14ac:dyDescent="0.3">
      <c r="B65" s="59">
        <f>DATE(Year+2,1,1)+IF(WEEKDAY(DATE(Year+2,1,1),2)&lt;6,0,IF(WEEKDAY(DATE(Year+2,1,1),2)=6,-1,1))</f>
        <v>44928</v>
      </c>
      <c r="C65" s="60" t="str">
        <f>C45&amp;" "&amp;(Year+2)</f>
        <v>New Years Day 2023</v>
      </c>
      <c r="D65" s="61"/>
    </row>
    <row r="66" spans="2:4" ht="15" hidden="1" x14ac:dyDescent="0.3">
      <c r="B66" s="62">
        <f>DATE(Year+2,1,21)-WEEKDAY(DATE(Year+2,1,21),3)</f>
        <v>44942</v>
      </c>
      <c r="C66" s="63" t="str">
        <f>C46&amp;" "&amp;(Year+2)</f>
        <v>Martin Luther King Day 2023</v>
      </c>
      <c r="D66" s="64"/>
    </row>
  </sheetData>
  <sheetProtection sheet="1" selectLockedCells="1"/>
  <mergeCells count="7">
    <mergeCell ref="B41:G41"/>
    <mergeCell ref="B42:G42"/>
    <mergeCell ref="B3:G3"/>
    <mergeCell ref="B2:G2"/>
    <mergeCell ref="B39:G39"/>
    <mergeCell ref="B40:G40"/>
    <mergeCell ref="B4:G4"/>
  </mergeCells>
  <phoneticPr fontId="0" type="noConversion"/>
  <conditionalFormatting sqref="B45:B66">
    <cfRule type="cellIs" dxfId="71" priority="20" stopIfTrue="1" operator="lessThan">
      <formula>TODAY()</formula>
    </cfRule>
  </conditionalFormatting>
  <conditionalFormatting sqref="C45:C66">
    <cfRule type="expression" dxfId="70" priority="21" stopIfTrue="1">
      <formula>B45&lt;TODAY()</formula>
    </cfRule>
  </conditionalFormatting>
  <conditionalFormatting sqref="D18 J11">
    <cfRule type="cellIs" dxfId="69" priority="22" stopIfTrue="1" operator="between">
      <formula>$I$17</formula>
      <formula>$J$17</formula>
    </cfRule>
  </conditionalFormatting>
  <conditionalFormatting sqref="F19 F16 F10">
    <cfRule type="expression" dxfId="68" priority="23" stopIfTrue="1">
      <formula>F9&lt;&gt;H9</formula>
    </cfRule>
    <cfRule type="expression" dxfId="67" priority="24" stopIfTrue="1">
      <formula>D9-D12&lt;&gt;F9</formula>
    </cfRule>
  </conditionalFormatting>
  <conditionalFormatting sqref="B41:G41">
    <cfRule type="expression" dxfId="66" priority="25" stopIfTrue="1">
      <formula>AND($D$18&gt;=$I$17,$D$18&lt;=$J$17)</formula>
    </cfRule>
  </conditionalFormatting>
  <conditionalFormatting sqref="F17 F14">
    <cfRule type="expression" dxfId="65" priority="26" stopIfTrue="1">
      <formula>F12&lt;&gt;H13</formula>
    </cfRule>
    <cfRule type="expression" dxfId="64" priority="27" stopIfTrue="1">
      <formula>D13-D19&lt;&gt;F12</formula>
    </cfRule>
  </conditionalFormatting>
  <conditionalFormatting sqref="F13">
    <cfRule type="expression" dxfId="63" priority="28" stopIfTrue="1">
      <formula>F11&lt;&gt;H12</formula>
    </cfRule>
    <cfRule type="expression" dxfId="62" priority="29" stopIfTrue="1">
      <formula>D12-D15&lt;&gt;F11</formula>
    </cfRule>
  </conditionalFormatting>
  <conditionalFormatting sqref="B45:B66">
    <cfRule type="cellIs" dxfId="61" priority="19" stopIfTrue="1" operator="lessThan">
      <formula>TODAY()</formula>
    </cfRule>
  </conditionalFormatting>
  <conditionalFormatting sqref="C45:C66">
    <cfRule type="expression" dxfId="60" priority="18" stopIfTrue="1">
      <formula>B45&lt;TODAY()</formula>
    </cfRule>
  </conditionalFormatting>
  <conditionalFormatting sqref="E6">
    <cfRule type="expression" dxfId="59" priority="13">
      <formula>AND($D$6&gt;0,$D$9&gt;$D$6)</formula>
    </cfRule>
  </conditionalFormatting>
  <conditionalFormatting sqref="D6">
    <cfRule type="expression" dxfId="58" priority="11">
      <formula>AND($D$6&gt;0,$D$9&gt;$D$6)</formula>
    </cfRule>
  </conditionalFormatting>
  <conditionalFormatting sqref="F22">
    <cfRule type="expression" dxfId="57" priority="56" stopIfTrue="1">
      <formula>F21&lt;&gt;H21</formula>
    </cfRule>
    <cfRule type="expression" dxfId="56" priority="57" stopIfTrue="1">
      <formula>D21-D30&lt;&gt;F21</formula>
    </cfRule>
  </conditionalFormatting>
  <conditionalFormatting sqref="F31">
    <cfRule type="expression" dxfId="55" priority="9" stopIfTrue="1">
      <formula>F30&lt;&gt;H30</formula>
    </cfRule>
    <cfRule type="expression" dxfId="54" priority="10" stopIfTrue="1">
      <formula>D30-D33&lt;&gt;F30</formula>
    </cfRule>
  </conditionalFormatting>
  <conditionalFormatting sqref="F25">
    <cfRule type="expression" dxfId="53" priority="1" stopIfTrue="1">
      <formula>F24&lt;&gt;H24</formula>
    </cfRule>
    <cfRule type="expression" dxfId="52" priority="2" stopIfTrue="1">
      <formula>D24-D27&lt;&gt;F24</formula>
    </cfRule>
  </conditionalFormatting>
  <conditionalFormatting sqref="F28">
    <cfRule type="expression" dxfId="51" priority="3" stopIfTrue="1">
      <formula>F27&lt;&gt;H27</formula>
    </cfRule>
    <cfRule type="expression" dxfId="50" priority="4" stopIfTrue="1">
      <formula>D27-D30&lt;&gt;F27</formula>
    </cfRule>
  </conditionalFormatting>
  <printOptions horizontalCentered="1"/>
  <pageMargins left="0.75" right="0.75" top="0.6" bottom="0.6" header="0.5" footer="0.5"/>
  <pageSetup orientation="landscape" horizontalDpi="4294967292" r:id="rId1"/>
  <headerFooter alignWithMargins="0"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7"/>
  <sheetViews>
    <sheetView showGridLines="0" workbookViewId="0">
      <selection activeCell="B4" sqref="B4:G4"/>
    </sheetView>
  </sheetViews>
  <sheetFormatPr defaultColWidth="9.7109375" defaultRowHeight="12.75" x14ac:dyDescent="0.2"/>
  <cols>
    <col min="1" max="1" width="3.7109375" style="3" customWidth="1"/>
    <col min="2" max="2" width="16.7109375" style="3" customWidth="1"/>
    <col min="3" max="3" width="21.7109375" style="3" customWidth="1"/>
    <col min="4" max="4" width="14.7109375" style="3" customWidth="1"/>
    <col min="5" max="6" width="6.7109375" style="3" customWidth="1"/>
    <col min="7" max="7" width="50.7109375" style="3" customWidth="1"/>
    <col min="8" max="8" width="9.7109375" style="3" hidden="1" customWidth="1"/>
    <col min="9" max="10" width="14.7109375" style="3" hidden="1" customWidth="1"/>
    <col min="11" max="11" width="24.7109375" style="3" hidden="1" customWidth="1"/>
    <col min="12" max="12" width="9.7109375" style="3"/>
    <col min="13" max="13" width="9.140625" customWidth="1"/>
    <col min="14" max="16384" width="9.7109375" style="3"/>
  </cols>
  <sheetData>
    <row r="2" spans="2:10" ht="23.25" x14ac:dyDescent="0.35">
      <c r="B2" s="74" t="s">
        <v>12</v>
      </c>
      <c r="C2" s="74"/>
      <c r="D2" s="74"/>
      <c r="E2" s="74"/>
      <c r="F2" s="74"/>
      <c r="G2" s="74"/>
    </row>
    <row r="3" spans="2:10" ht="23.25" x14ac:dyDescent="0.35">
      <c r="B3" s="74" t="s">
        <v>8</v>
      </c>
      <c r="C3" s="74"/>
      <c r="D3" s="74"/>
      <c r="E3" s="74"/>
      <c r="F3" s="74"/>
      <c r="G3" s="74"/>
      <c r="H3" s="4"/>
    </row>
    <row r="4" spans="2:10" ht="23.25" customHeight="1" x14ac:dyDescent="0.35">
      <c r="B4" s="76" t="s">
        <v>69</v>
      </c>
      <c r="C4" s="76"/>
      <c r="D4" s="76"/>
      <c r="E4" s="76"/>
      <c r="F4" s="76"/>
      <c r="G4" s="76"/>
      <c r="H4" s="53" t="s">
        <v>70</v>
      </c>
    </row>
    <row r="5" spans="2:10" ht="12.75" customHeight="1" x14ac:dyDescent="0.2">
      <c r="B5" s="12"/>
      <c r="C5" s="12"/>
      <c r="D5" s="25"/>
      <c r="E5" s="13"/>
      <c r="F5" s="40"/>
      <c r="G5" s="13"/>
      <c r="H5" s="53"/>
    </row>
    <row r="6" spans="2:10" ht="16.5" customHeight="1" thickBot="1" x14ac:dyDescent="0.25">
      <c r="B6" s="14" t="s">
        <v>72</v>
      </c>
      <c r="C6" s="12"/>
      <c r="D6" s="68"/>
      <c r="E6" s="69" t="str">
        <f>"  &lt;-- "&amp;IF(AND($D$6&gt;0,$D$9&gt;$D$6),"Date cannot be prior to calculated NTP date","Optional desired NTP date")</f>
        <v xml:space="preserve">  &lt;-- Optional desired NTP date</v>
      </c>
      <c r="F6" s="13"/>
      <c r="G6" s="13"/>
      <c r="H6" s="53"/>
    </row>
    <row r="7" spans="2:10" ht="12.75" customHeight="1" x14ac:dyDescent="0.2">
      <c r="B7" s="8"/>
      <c r="C7" s="8"/>
      <c r="D7" s="26"/>
      <c r="E7" s="10"/>
      <c r="F7" s="10"/>
      <c r="G7" s="10"/>
      <c r="H7" s="53"/>
    </row>
    <row r="8" spans="2:10" ht="13.5" thickBot="1" x14ac:dyDescent="0.25">
      <c r="B8" s="12"/>
      <c r="C8" s="13"/>
      <c r="D8" s="13"/>
      <c r="E8" s="13"/>
      <c r="F8" s="13"/>
      <c r="G8" s="27" t="str">
        <f>IF(D9&gt;MAX(Holidays),"Warning! Last date beyond last calculated holiday.","")</f>
        <v/>
      </c>
      <c r="H8" s="52"/>
      <c r="J8" s="28"/>
    </row>
    <row r="9" spans="2:10" ht="13.5" thickBot="1" x14ac:dyDescent="0.25">
      <c r="B9" s="14" t="s">
        <v>4</v>
      </c>
      <c r="C9" s="23"/>
      <c r="D9" s="42">
        <f>WORKDAY(D12+F9,IF(OR(WEEKDAY(D12+F9,2)&gt;5,ISNUMBER(MATCH(D12+F9,Holidays,0))),1,0),Holidays)</f>
        <v>44417</v>
      </c>
      <c r="E9" s="13"/>
      <c r="F9" s="16">
        <f>3*7</f>
        <v>21</v>
      </c>
      <c r="G9" s="43" t="s">
        <v>71</v>
      </c>
      <c r="H9" s="52">
        <f>3*7</f>
        <v>21</v>
      </c>
    </row>
    <row r="10" spans="2:10" x14ac:dyDescent="0.2">
      <c r="B10" s="8"/>
      <c r="C10" s="24"/>
      <c r="D10" s="2"/>
      <c r="E10" s="10"/>
      <c r="F10" s="17" t="str">
        <f>IF(F9&lt;&gt;H9,"Standard "&amp;H9&amp;" days has been changed.  ","")&amp;IF(D9-D12&lt;&gt;F9,"("&amp;D9-D12&amp;" days used)","")</f>
        <v/>
      </c>
      <c r="G10" s="10"/>
      <c r="H10" s="54"/>
    </row>
    <row r="11" spans="2:10" x14ac:dyDescent="0.2">
      <c r="B11" s="12"/>
      <c r="C11" s="12"/>
      <c r="D11" s="25"/>
      <c r="E11" s="13"/>
      <c r="F11" s="40"/>
      <c r="G11" s="13"/>
      <c r="H11" s="52"/>
      <c r="J11" s="30"/>
    </row>
    <row r="12" spans="2:10" x14ac:dyDescent="0.2">
      <c r="B12" s="14" t="s">
        <v>0</v>
      </c>
      <c r="C12" s="12"/>
      <c r="D12" s="31">
        <f>WORKDAY(D15+F12,IF(OR(WEEKDAY(D15+F12,2)&gt;5,ISNUMBER(MATCH(D15+F12,Holidays,0))),1,0),Holidays)</f>
        <v>44396</v>
      </c>
      <c r="E12" s="15"/>
      <c r="F12" s="16">
        <v>30</v>
      </c>
      <c r="G12" s="13" t="s">
        <v>18</v>
      </c>
      <c r="H12" s="52">
        <v>30</v>
      </c>
    </row>
    <row r="13" spans="2:10" x14ac:dyDescent="0.2">
      <c r="B13" s="8"/>
      <c r="C13" s="8"/>
      <c r="D13" s="26"/>
      <c r="E13" s="10"/>
      <c r="F13" s="17" t="str">
        <f>IF(F12&lt;&gt;H12,"Standard "&amp;H12&amp;" days has been changed.  ","")&amp;IF(D12-D15&lt;&gt;F12,"("&amp;D12-D15&amp;" days used)","")</f>
        <v>(31 days used)</v>
      </c>
      <c r="G13" s="10"/>
      <c r="H13" s="54"/>
      <c r="J13" s="32"/>
    </row>
    <row r="14" spans="2:10" x14ac:dyDescent="0.2">
      <c r="B14" s="12"/>
      <c r="C14" s="12"/>
      <c r="D14" s="25"/>
      <c r="E14" s="13"/>
      <c r="F14" s="40"/>
      <c r="G14" s="13"/>
      <c r="H14" s="52"/>
      <c r="J14" s="32"/>
    </row>
    <row r="15" spans="2:10" x14ac:dyDescent="0.2">
      <c r="B15" s="14" t="s">
        <v>9</v>
      </c>
      <c r="C15" s="12"/>
      <c r="D15" s="31">
        <f>WORKDAY(D18+F15,IF(OR(WEEKDAY(D18+F15,2)&gt;5,ISNUMBER(MATCH(D18+F15,Holidays,0))),1,0),Holidays)</f>
        <v>44365</v>
      </c>
      <c r="E15" s="13"/>
      <c r="F15" s="16">
        <v>30</v>
      </c>
      <c r="G15" s="13" t="s">
        <v>68</v>
      </c>
      <c r="H15" s="52">
        <v>30</v>
      </c>
      <c r="J15" s="32"/>
    </row>
    <row r="16" spans="2:10" x14ac:dyDescent="0.2">
      <c r="B16" s="8"/>
      <c r="C16" s="8"/>
      <c r="D16" s="26"/>
      <c r="E16" s="11"/>
      <c r="F16" s="17" t="str">
        <f>IF(F15&lt;&gt;H15,"Standard "&amp;H15&amp;" days has been changed.  ","")&amp;IF(D15-D18&lt;&gt;F15,"("&amp;D15-D18&amp;" days used)","")</f>
        <v/>
      </c>
      <c r="G16" s="10"/>
      <c r="H16" s="54"/>
      <c r="J16" s="32"/>
    </row>
    <row r="17" spans="2:11" x14ac:dyDescent="0.2">
      <c r="B17" s="12"/>
      <c r="C17" s="12"/>
      <c r="D17" s="25"/>
      <c r="E17" s="15"/>
      <c r="F17" s="40"/>
      <c r="G17" s="13"/>
      <c r="H17" s="52"/>
      <c r="J17" s="32"/>
    </row>
    <row r="18" spans="2:11" x14ac:dyDescent="0.2">
      <c r="B18" s="14" t="s">
        <v>10</v>
      </c>
      <c r="C18" s="12"/>
      <c r="D18" s="31">
        <f>WORKDAY(D21+F18,IF(OR(WEEKDAY(D21+F18,2)&gt;5,ISNUMBER(MATCH(D21+F18,Holidays,0))),1,0),Holidays)</f>
        <v>44335</v>
      </c>
      <c r="E18" s="15"/>
      <c r="F18" s="16">
        <v>21</v>
      </c>
      <c r="G18" s="13" t="s">
        <v>67</v>
      </c>
      <c r="H18" s="52">
        <f>3*7</f>
        <v>21</v>
      </c>
      <c r="J18" s="32"/>
    </row>
    <row r="19" spans="2:11" x14ac:dyDescent="0.2">
      <c r="B19" s="8"/>
      <c r="C19" s="8"/>
      <c r="D19" s="26"/>
      <c r="E19" s="11"/>
      <c r="F19" s="17" t="str">
        <f>IF(F18&lt;&gt;H18,"Standard "&amp;H18&amp;" days has been changed.  ","")&amp;IF(D18-D21&lt;&gt;F18,"("&amp;D18-D21&amp;" days used)","")</f>
        <v/>
      </c>
      <c r="G19" s="10"/>
      <c r="H19" s="54"/>
      <c r="J19" s="32"/>
    </row>
    <row r="20" spans="2:11" x14ac:dyDescent="0.2">
      <c r="B20" s="12"/>
      <c r="C20" s="12"/>
      <c r="D20" s="25"/>
      <c r="E20" s="13"/>
      <c r="F20" s="40"/>
      <c r="G20" s="13"/>
      <c r="H20" s="52"/>
      <c r="I20" s="46">
        <f>INDEX(Holidays,MATCH(DATE(YEAR(D21),12,1),Holidays))</f>
        <v>44525</v>
      </c>
      <c r="J20" s="47">
        <f>WORKDAY(DATE(YEAR(D21),12,31),VLOOKUP(WEEKDAY(DATE(YEAR(D21),12,25)),Christmas,3,0),Holidays)-1</f>
        <v>44563</v>
      </c>
      <c r="K20" s="48" t="s">
        <v>60</v>
      </c>
    </row>
    <row r="21" spans="2:11" x14ac:dyDescent="0.2">
      <c r="B21" s="14" t="s">
        <v>6</v>
      </c>
      <c r="C21" s="12"/>
      <c r="D21" s="33">
        <f>WORKDAY(J21,IF(J21-INDEX(Holidays,MATCH(J21,Holidays))&lt;2,1,0),Holidays)</f>
        <v>44314</v>
      </c>
      <c r="E21" s="15"/>
      <c r="F21" s="16">
        <v>30</v>
      </c>
      <c r="G21" s="13" t="s">
        <v>19</v>
      </c>
      <c r="H21" s="52">
        <v>30</v>
      </c>
      <c r="I21" s="49">
        <f>D24+F21+IF(WORKDAY(DATE(YEAR(D24),12,24),-1,Holidays)-D24&lt;F21,VLOOKUP(WEEKDAY(DATE(YEAR(D24),12,25)),Christmas,2,0),0)</f>
        <v>44314</v>
      </c>
      <c r="J21" s="50">
        <f>WORKDAY(I21,IF(AND(WEEKDAY(I21,2)=4,ISNUMBER(MATCH(I21,Holidays,0))),3,IF(OR(AND(WEEKDAY(I21,2)=5,ISNUMBER(MATCH(I21,Holidays,0))),WEEKDAY(I21,2)&gt;5),2,IF(OR(WEEKDAY(I21,2)=1,ISNUMBER(MATCH(I21,Holidays,0))),1,0))),Holidays)</f>
        <v>44314</v>
      </c>
      <c r="K21" s="55"/>
    </row>
    <row r="22" spans="2:11" x14ac:dyDescent="0.2">
      <c r="B22" s="8"/>
      <c r="C22" s="8"/>
      <c r="D22" s="26"/>
      <c r="E22" s="11"/>
      <c r="F22" s="17" t="str">
        <f>IF(F21&lt;&gt;H21,"Standard "&amp;H21&amp;" days has been changed.  ","")&amp;IF(D21-D24&lt;&gt;F21,"("&amp;D21-D24&amp;" days used)","")</f>
        <v/>
      </c>
      <c r="G22" s="10"/>
      <c r="H22" s="54"/>
      <c r="I22" s="45" t="s">
        <v>57</v>
      </c>
      <c r="J22" s="51" t="s">
        <v>58</v>
      </c>
      <c r="K22" s="55"/>
    </row>
    <row r="23" spans="2:11" x14ac:dyDescent="0.2">
      <c r="B23" s="12"/>
      <c r="C23" s="12"/>
      <c r="D23" s="25"/>
      <c r="E23" s="13"/>
      <c r="F23" s="13"/>
      <c r="G23" s="21"/>
      <c r="H23" s="52"/>
    </row>
    <row r="24" spans="2:11" x14ac:dyDescent="0.2">
      <c r="B24" s="14" t="s">
        <v>2</v>
      </c>
      <c r="C24" s="12"/>
      <c r="D24" s="31">
        <f>WORKDAY(D27+F24,IF(OR(WEEKDAY(D27+F24,2)&gt;5,ISNUMBER(MATCH(D27+F24,Holidays,0))),1,0),Holidays)</f>
        <v>44284</v>
      </c>
      <c r="E24" s="15"/>
      <c r="F24" s="16">
        <v>14</v>
      </c>
      <c r="G24" s="13" t="s">
        <v>14</v>
      </c>
      <c r="H24" s="52">
        <f>2*7</f>
        <v>14</v>
      </c>
      <c r="J24" s="34"/>
    </row>
    <row r="25" spans="2:11" x14ac:dyDescent="0.2">
      <c r="B25" s="8"/>
      <c r="C25" s="8"/>
      <c r="D25" s="26"/>
      <c r="E25" s="11"/>
      <c r="F25" s="17" t="str">
        <f>IF(F24&lt;&gt;H24,"Standard "&amp;H24&amp;" days has been changed.  ","")&amp;IF(D24-D27&lt;&gt;F24,"("&amp;D24-D27&amp;" days used)","")</f>
        <v/>
      </c>
      <c r="G25" s="10"/>
      <c r="H25" s="54"/>
    </row>
    <row r="26" spans="2:11" x14ac:dyDescent="0.2">
      <c r="B26" s="12"/>
      <c r="C26" s="12"/>
      <c r="D26" s="25"/>
      <c r="E26" s="15"/>
      <c r="F26" s="15"/>
      <c r="G26" s="21"/>
      <c r="H26" s="70"/>
    </row>
    <row r="27" spans="2:11" x14ac:dyDescent="0.2">
      <c r="B27" s="14" t="s">
        <v>5</v>
      </c>
      <c r="C27" s="12"/>
      <c r="D27" s="31">
        <f>WORKDAY(D30+F27,IF(OR(WEEKDAY(D30+F27,2)&gt;5,ISNUMBER(MATCH(D30+F27,Holidays,0))),1,0),Holidays)</f>
        <v>44270</v>
      </c>
      <c r="E27" s="15"/>
      <c r="F27" s="16">
        <v>0</v>
      </c>
      <c r="G27" s="13" t="s">
        <v>77</v>
      </c>
      <c r="H27" s="70">
        <v>0</v>
      </c>
    </row>
    <row r="28" spans="2:11" x14ac:dyDescent="0.2">
      <c r="B28" s="8"/>
      <c r="C28" s="8"/>
      <c r="D28" s="26"/>
      <c r="E28" s="11"/>
      <c r="F28" s="17" t="str">
        <f>IF(F27&lt;&gt;H27,"Standard "&amp;H27&amp;" days has been changed.  ","")&amp;IF(D27-D30&lt;&gt;F27,"("&amp;D27-D30&amp;" days used)","")</f>
        <v/>
      </c>
      <c r="G28" s="10"/>
      <c r="H28" s="70"/>
    </row>
    <row r="29" spans="2:11" x14ac:dyDescent="0.2">
      <c r="B29" s="12"/>
      <c r="C29" s="12"/>
      <c r="D29" s="25"/>
      <c r="E29" s="15"/>
      <c r="F29" s="15"/>
      <c r="G29" s="21"/>
      <c r="H29" s="70"/>
    </row>
    <row r="30" spans="2:11" x14ac:dyDescent="0.2">
      <c r="B30" s="14" t="s">
        <v>74</v>
      </c>
      <c r="C30" s="12"/>
      <c r="D30" s="31">
        <f>WORKDAY(D33+F30,IF(OR(WEEKDAY(D33+F30,2)&gt;5,ISNUMBER(MATCH(D33+F30,Holidays,0))),1,0),Holidays)</f>
        <v>44270</v>
      </c>
      <c r="E30" s="15"/>
      <c r="F30" s="16">
        <v>7</v>
      </c>
      <c r="G30" s="13" t="s">
        <v>76</v>
      </c>
      <c r="H30" s="70">
        <v>7</v>
      </c>
    </row>
    <row r="31" spans="2:11" x14ac:dyDescent="0.2">
      <c r="B31" s="8"/>
      <c r="C31" s="8"/>
      <c r="D31" s="26"/>
      <c r="E31" s="11"/>
      <c r="F31" s="17" t="str">
        <f>IF(F30&lt;&gt;H30,"Standard "&amp;H30&amp;" days has been changed.  ","")&amp;IF(D30-D33&lt;&gt;F30,"("&amp;D30-D33&amp;" days used)","")</f>
        <v/>
      </c>
      <c r="G31" s="10"/>
      <c r="H31" s="70"/>
    </row>
    <row r="32" spans="2:11" x14ac:dyDescent="0.2">
      <c r="B32" s="12"/>
      <c r="C32" s="12"/>
      <c r="D32" s="25"/>
      <c r="E32" s="15"/>
      <c r="F32" s="15"/>
      <c r="G32" s="21"/>
      <c r="H32" s="52"/>
    </row>
    <row r="33" spans="2:11" x14ac:dyDescent="0.2">
      <c r="B33" s="14" t="s">
        <v>73</v>
      </c>
      <c r="C33" s="12"/>
      <c r="D33" s="31">
        <f>WORKDAY(Arrives+F33,IF(OR(WEEKDAY(Arrives+F33,2)&gt;5,ISNUMBER(MATCH(Arrives+F33,Holidays,0))),1,0),Holidays)</f>
        <v>44263</v>
      </c>
      <c r="E33" s="15"/>
      <c r="F33" s="16">
        <v>7</v>
      </c>
      <c r="G33" s="13" t="s">
        <v>75</v>
      </c>
      <c r="H33" s="52">
        <v>7</v>
      </c>
    </row>
    <row r="34" spans="2:11" x14ac:dyDescent="0.2">
      <c r="B34" s="8"/>
      <c r="C34" s="8"/>
      <c r="D34" s="26"/>
      <c r="E34" s="11"/>
      <c r="F34" s="17" t="str">
        <f>IF(F33&lt;&gt;H33,"Standard "&amp;H33&amp;" days has been changed.  ","")&amp;IF(D33-D36&lt;&gt;F33,"("&amp;D33-D36&amp;" days used)","")</f>
        <v/>
      </c>
      <c r="G34" s="10"/>
      <c r="H34" s="54"/>
    </row>
    <row r="35" spans="2:11" x14ac:dyDescent="0.2">
      <c r="B35" s="12"/>
      <c r="C35" s="12"/>
      <c r="D35" s="25"/>
      <c r="E35" s="15"/>
      <c r="F35" s="15"/>
      <c r="G35" s="21"/>
    </row>
    <row r="36" spans="2:11" ht="16.5" thickBot="1" x14ac:dyDescent="0.3">
      <c r="B36" s="14" t="s">
        <v>3</v>
      </c>
      <c r="C36" s="7">
        <f>Arrives</f>
        <v>44256</v>
      </c>
      <c r="D36" s="6">
        <v>44256</v>
      </c>
      <c r="E36" s="22" t="s">
        <v>56</v>
      </c>
      <c r="F36" s="5"/>
      <c r="G36" s="5"/>
    </row>
    <row r="37" spans="2:11" x14ac:dyDescent="0.2">
      <c r="B37" s="8"/>
      <c r="C37" s="9"/>
      <c r="D37" s="10"/>
      <c r="E37" s="11"/>
      <c r="F37" s="11"/>
      <c r="G37" s="10"/>
    </row>
    <row r="38" spans="2:11" x14ac:dyDescent="0.2">
      <c r="B38" s="13"/>
      <c r="C38" s="13"/>
      <c r="D38" s="13"/>
      <c r="E38" s="15"/>
      <c r="F38" s="15"/>
      <c r="G38" s="13"/>
    </row>
    <row r="39" spans="2:11" ht="15.75" x14ac:dyDescent="0.25">
      <c r="B39" s="18" t="s">
        <v>15</v>
      </c>
      <c r="C39" s="13"/>
      <c r="D39" s="13"/>
      <c r="E39" s="13"/>
      <c r="F39" s="13"/>
      <c r="G39" s="13"/>
    </row>
    <row r="40" spans="2:11" ht="12.75" customHeight="1" x14ac:dyDescent="0.2">
      <c r="B40" s="75" t="s">
        <v>16</v>
      </c>
      <c r="C40" s="75"/>
      <c r="D40" s="75"/>
      <c r="E40" s="75"/>
      <c r="F40" s="75"/>
      <c r="G40" s="75"/>
    </row>
    <row r="41" spans="2:11" x14ac:dyDescent="0.2">
      <c r="B41" s="71" t="s">
        <v>62</v>
      </c>
      <c r="C41" s="75"/>
      <c r="D41" s="75"/>
      <c r="E41" s="75"/>
      <c r="F41" s="75"/>
      <c r="G41" s="75"/>
    </row>
    <row r="42" spans="2:11" ht="12.75" customHeight="1" x14ac:dyDescent="0.2">
      <c r="B42" s="71" t="s">
        <v>63</v>
      </c>
      <c r="C42" s="71"/>
      <c r="D42" s="71"/>
      <c r="E42" s="71"/>
      <c r="F42" s="71"/>
      <c r="G42" s="71"/>
      <c r="I42" s="35"/>
    </row>
    <row r="43" spans="2:11" ht="25.5" customHeight="1" x14ac:dyDescent="0.2">
      <c r="B43" s="72" t="str">
        <f>"If the advertisement period includes the Christmas/New Year Holiday period, 7 to 14 days will need to be added to the advertisement period"&amp;IF(YEAR(D21)&lt;&gt;YEAR(D24)," ("&amp;D21-D24-F21&amp;" days were added for holiday period)","")&amp;"."</f>
        <v>If the advertisement period includes the Christmas/New Year Holiday period, 7 to 14 days will need to be added to the advertisement period.</v>
      </c>
      <c r="C43" s="73"/>
      <c r="D43" s="73"/>
      <c r="E43" s="73"/>
      <c r="F43" s="73"/>
      <c r="G43" s="73"/>
      <c r="I43" s="35"/>
    </row>
    <row r="44" spans="2:11" x14ac:dyDescent="0.2">
      <c r="B44" s="19" t="s">
        <v>17</v>
      </c>
      <c r="C44" s="20"/>
      <c r="D44" s="20"/>
      <c r="E44" s="20"/>
      <c r="F44" s="20"/>
      <c r="G44" s="20"/>
    </row>
    <row r="45" spans="2:11" ht="16.5" hidden="1" x14ac:dyDescent="0.35">
      <c r="B45" s="65">
        <f>YEAR(Arrives)</f>
        <v>2021</v>
      </c>
      <c r="C45" s="66"/>
      <c r="D45" s="67"/>
    </row>
    <row r="46" spans="2:11" ht="15" hidden="1" x14ac:dyDescent="0.3">
      <c r="B46" s="56">
        <f>DATE(Year,1,1)+IF(WEEKDAY(DATE(Year,1,1),2)&lt;6,0,IF(WEEKDAY(DATE(Year,1,1),2)=6,-1,1))</f>
        <v>44197</v>
      </c>
      <c r="C46" s="57" t="s">
        <v>27</v>
      </c>
      <c r="D46" s="58"/>
      <c r="G46"/>
      <c r="H46"/>
      <c r="I46"/>
      <c r="J46"/>
      <c r="K46"/>
    </row>
    <row r="47" spans="2:11" ht="15" hidden="1" x14ac:dyDescent="0.3">
      <c r="B47" s="59">
        <f>DATE(Year,1,21)-WEEKDAY(DATE(Year,1,21),3)</f>
        <v>44214</v>
      </c>
      <c r="C47" s="60" t="s">
        <v>28</v>
      </c>
      <c r="D47" s="61"/>
      <c r="G47"/>
      <c r="H47"/>
      <c r="I47"/>
      <c r="J47"/>
      <c r="K47"/>
    </row>
    <row r="48" spans="2:11" ht="15" hidden="1" x14ac:dyDescent="0.3">
      <c r="B48" s="59">
        <f>DATE(Year,2,21)-WEEKDAY(DATE(Year,2,21),3)</f>
        <v>44242</v>
      </c>
      <c r="C48" s="60" t="s">
        <v>29</v>
      </c>
      <c r="D48" s="61"/>
      <c r="G48"/>
      <c r="H48"/>
      <c r="I48"/>
      <c r="J48"/>
      <c r="K48"/>
    </row>
    <row r="49" spans="2:11" ht="15" hidden="1" x14ac:dyDescent="0.3">
      <c r="B49" s="59">
        <f>DATE(Year,5,31)-WEEKDAY(DATE(Year,5,31),3)</f>
        <v>44347</v>
      </c>
      <c r="C49" s="60" t="s">
        <v>30</v>
      </c>
      <c r="D49" s="61"/>
      <c r="G49"/>
      <c r="H49"/>
      <c r="I49"/>
      <c r="J49"/>
      <c r="K49"/>
    </row>
    <row r="50" spans="2:11" ht="15" hidden="1" x14ac:dyDescent="0.3">
      <c r="B50" s="59">
        <f>DATE(Year,7,4)+IF(WEEKDAY(DATE(Year,7,4),2)&lt;6,0,IF(WEEKDAY(DATE(Year,7,4),2)=6,-1,1))</f>
        <v>44382</v>
      </c>
      <c r="C50" s="60" t="s">
        <v>31</v>
      </c>
      <c r="D50" s="61"/>
      <c r="G50"/>
      <c r="H50"/>
      <c r="I50"/>
      <c r="J50"/>
      <c r="K50"/>
    </row>
    <row r="51" spans="2:11" ht="15" hidden="1" x14ac:dyDescent="0.3">
      <c r="B51" s="59">
        <f>DATE(Year,9,7)-WEEKDAY(DATE(Year,9,7),3)</f>
        <v>44445</v>
      </c>
      <c r="C51" s="60" t="s">
        <v>32</v>
      </c>
      <c r="D51" s="61"/>
      <c r="G51"/>
      <c r="H51"/>
      <c r="I51"/>
      <c r="J51"/>
      <c r="K51"/>
    </row>
    <row r="52" spans="2:11" ht="15" hidden="1" x14ac:dyDescent="0.3">
      <c r="B52" s="59">
        <f>DATE(Year,10,14)-WEEKDAY(DATE(Year,10,14),3)</f>
        <v>44480</v>
      </c>
      <c r="C52" s="60" t="s">
        <v>33</v>
      </c>
      <c r="D52" s="61"/>
      <c r="G52"/>
      <c r="H52"/>
      <c r="I52"/>
      <c r="J52"/>
      <c r="K52"/>
    </row>
    <row r="53" spans="2:11" ht="15" hidden="1" x14ac:dyDescent="0.3">
      <c r="B53" s="59">
        <f>DATE(Year,11,11)+IF(WEEKDAY(DATE(Year,11,11),2)&lt;6,0,IF(WEEKDAY(DATE(Year,11,11),2)=6,-1,1))</f>
        <v>44511</v>
      </c>
      <c r="C53" s="60" t="s">
        <v>34</v>
      </c>
      <c r="D53" s="61"/>
      <c r="G53"/>
      <c r="H53"/>
      <c r="I53"/>
      <c r="J53"/>
      <c r="K53"/>
    </row>
    <row r="54" spans="2:11" ht="15" hidden="1" x14ac:dyDescent="0.3">
      <c r="B54" s="59">
        <f>DATE(Year,11,28)-WEEKDAY(DATE(Year,11,25),3)</f>
        <v>44525</v>
      </c>
      <c r="C54" s="60" t="s">
        <v>35</v>
      </c>
      <c r="D54" s="61"/>
      <c r="G54"/>
      <c r="H54"/>
      <c r="I54"/>
      <c r="J54"/>
      <c r="K54"/>
    </row>
    <row r="55" spans="2:11" ht="15" hidden="1" x14ac:dyDescent="0.3">
      <c r="B55" s="59">
        <f>DATE(Year,12,25)+IF(WEEKDAY(DATE(Year,12,25),2)&lt;6,0,IF(WEEKDAY(DATE(Year,12,25),2)=6,-1,1))</f>
        <v>44554</v>
      </c>
      <c r="C55" s="60" t="s">
        <v>36</v>
      </c>
      <c r="D55" s="61"/>
    </row>
    <row r="56" spans="2:11" ht="15" hidden="1" x14ac:dyDescent="0.3">
      <c r="B56" s="59">
        <f>DATE(Year+1,1,1)+IF(WEEKDAY(DATE(Year+1,1,1),2)&lt;6,0,IF(WEEKDAY(DATE(Year+1,1,1),2)=6,-1,1))</f>
        <v>44561</v>
      </c>
      <c r="C56" s="60" t="str">
        <f>C46&amp;" "&amp;(Year+1)</f>
        <v>New Years Day 2022</v>
      </c>
      <c r="D56" s="61"/>
    </row>
    <row r="57" spans="2:11" ht="15" hidden="1" x14ac:dyDescent="0.3">
      <c r="B57" s="59">
        <f>DATE(Year+1,1,21)-WEEKDAY(DATE(Year+1,1,21),3)</f>
        <v>44578</v>
      </c>
      <c r="C57" s="60" t="str">
        <f t="shared" ref="C57:C65" si="0">C47&amp;" "&amp;(Year+1)</f>
        <v>Martin Luther King Day 2022</v>
      </c>
      <c r="D57" s="61"/>
    </row>
    <row r="58" spans="2:11" ht="15" hidden="1" x14ac:dyDescent="0.3">
      <c r="B58" s="59">
        <f>DATE(Year+1,2,21)-WEEKDAY(DATE(Year+1,2,21),3)</f>
        <v>44613</v>
      </c>
      <c r="C58" s="60" t="str">
        <f t="shared" si="0"/>
        <v>President's Day 2022</v>
      </c>
      <c r="D58" s="61"/>
    </row>
    <row r="59" spans="2:11" ht="15" hidden="1" x14ac:dyDescent="0.3">
      <c r="B59" s="59">
        <f>DATE(Year+1,5,31)-WEEKDAY(DATE(Year+1,5,31),3)</f>
        <v>44711</v>
      </c>
      <c r="C59" s="60" t="str">
        <f t="shared" si="0"/>
        <v>Memorial Day 2022</v>
      </c>
      <c r="D59" s="61"/>
    </row>
    <row r="60" spans="2:11" ht="15" hidden="1" x14ac:dyDescent="0.3">
      <c r="B60" s="59">
        <f>DATE(Year+1,7,4)+IF(WEEKDAY(DATE(Year+1,7,4),2)&lt;6,0,IF(WEEKDAY(DATE(Year+1,7,4),2)=6,-1,1))</f>
        <v>44746</v>
      </c>
      <c r="C60" s="60" t="str">
        <f t="shared" si="0"/>
        <v>Independence Day 2022</v>
      </c>
      <c r="D60" s="61"/>
    </row>
    <row r="61" spans="2:11" ht="15" hidden="1" x14ac:dyDescent="0.3">
      <c r="B61" s="59">
        <f>DATE(Year+1,9,7)-WEEKDAY(DATE(Year+1,9,7),3)</f>
        <v>44809</v>
      </c>
      <c r="C61" s="60" t="str">
        <f t="shared" si="0"/>
        <v>Labor Day 2022</v>
      </c>
      <c r="D61" s="61"/>
    </row>
    <row r="62" spans="2:11" ht="15" hidden="1" x14ac:dyDescent="0.3">
      <c r="B62" s="59">
        <f>DATE(Year+1,10,14)-WEEKDAY(DATE(Year+1,10,14),3)</f>
        <v>44844</v>
      </c>
      <c r="C62" s="60" t="str">
        <f t="shared" si="0"/>
        <v>Columbus Day 2022</v>
      </c>
      <c r="D62" s="61"/>
    </row>
    <row r="63" spans="2:11" ht="15" hidden="1" x14ac:dyDescent="0.3">
      <c r="B63" s="59">
        <f>DATE(Year+1,11,11)+IF(WEEKDAY(DATE(Year+1,11,11),2)&lt;6,0,IF(WEEKDAY(DATE(Year+1,11,11),2)=6,-1,1))</f>
        <v>44876</v>
      </c>
      <c r="C63" s="60" t="str">
        <f t="shared" si="0"/>
        <v>Veteran's Day 2022</v>
      </c>
      <c r="D63" s="61"/>
    </row>
    <row r="64" spans="2:11" ht="15" hidden="1" x14ac:dyDescent="0.3">
      <c r="B64" s="59">
        <f>DATE(Year+1,11,28)-WEEKDAY(DATE(Year+1,11,25),3)</f>
        <v>44889</v>
      </c>
      <c r="C64" s="60" t="str">
        <f t="shared" si="0"/>
        <v>Thanksgiving 2022</v>
      </c>
      <c r="D64" s="61"/>
    </row>
    <row r="65" spans="2:4" ht="15" hidden="1" x14ac:dyDescent="0.3">
      <c r="B65" s="59">
        <f>DATE(Year+1,12,25)+IF(WEEKDAY(DATE(Year+1,12,25),2)&lt;6,0,IF(WEEKDAY(DATE(Year+1,12,25),2)=6,-1,1))</f>
        <v>44921</v>
      </c>
      <c r="C65" s="60" t="str">
        <f t="shared" si="0"/>
        <v>Christmas 2022</v>
      </c>
      <c r="D65" s="61"/>
    </row>
    <row r="66" spans="2:4" ht="15" hidden="1" x14ac:dyDescent="0.3">
      <c r="B66" s="59">
        <f>DATE(Year+2,1,1)+IF(WEEKDAY(DATE(Year+2,1,1),2)&lt;6,0,IF(WEEKDAY(DATE(Year+2,1,1),2)=6,-1,1))</f>
        <v>44928</v>
      </c>
      <c r="C66" s="60" t="str">
        <f>C46&amp;" "&amp;(Year+2)</f>
        <v>New Years Day 2023</v>
      </c>
      <c r="D66" s="61"/>
    </row>
    <row r="67" spans="2:4" ht="15" hidden="1" x14ac:dyDescent="0.3">
      <c r="B67" s="62">
        <f>DATE(Year+2,1,21)-WEEKDAY(DATE(Year+2,1,21),3)</f>
        <v>44942</v>
      </c>
      <c r="C67" s="63" t="str">
        <f>C47&amp;" "&amp;(Year+2)</f>
        <v>Martin Luther King Day 2023</v>
      </c>
      <c r="D67" s="64"/>
    </row>
  </sheetData>
  <sheetProtection sheet="1" objects="1" scenarios="1" selectLockedCells="1"/>
  <mergeCells count="7">
    <mergeCell ref="B42:G42"/>
    <mergeCell ref="B43:G43"/>
    <mergeCell ref="B3:G3"/>
    <mergeCell ref="B2:G2"/>
    <mergeCell ref="B40:G40"/>
    <mergeCell ref="B41:G41"/>
    <mergeCell ref="B4:G4"/>
  </mergeCells>
  <phoneticPr fontId="0" type="noConversion"/>
  <conditionalFormatting sqref="B46:B67">
    <cfRule type="cellIs" dxfId="49" priority="24" stopIfTrue="1" operator="lessThan">
      <formula>TODAY()</formula>
    </cfRule>
  </conditionalFormatting>
  <conditionalFormatting sqref="C46:C67">
    <cfRule type="expression" dxfId="48" priority="25" stopIfTrue="1">
      <formula>B46&lt;TODAY()</formula>
    </cfRule>
  </conditionalFormatting>
  <conditionalFormatting sqref="D21 J11">
    <cfRule type="cellIs" dxfId="47" priority="26" stopIfTrue="1" operator="between">
      <formula>$I$20</formula>
      <formula>$J$20</formula>
    </cfRule>
  </conditionalFormatting>
  <conditionalFormatting sqref="F22 F13 F16 F19 F10">
    <cfRule type="expression" dxfId="46" priority="27" stopIfTrue="1">
      <formula>F9&lt;&gt;H9</formula>
    </cfRule>
    <cfRule type="expression" dxfId="45" priority="28" stopIfTrue="1">
      <formula>D9-D12&lt;&gt;F9</formula>
    </cfRule>
  </conditionalFormatting>
  <conditionalFormatting sqref="B42:G42">
    <cfRule type="expression" dxfId="44" priority="29" stopIfTrue="1">
      <formula>AND($D$21&gt;=$I$20,$D$21&lt;=$J$20)</formula>
    </cfRule>
  </conditionalFormatting>
  <conditionalFormatting sqref="F11">
    <cfRule type="expression" dxfId="43" priority="30" stopIfTrue="1">
      <formula>F9&lt;&gt;H10</formula>
    </cfRule>
    <cfRule type="expression" dxfId="42" priority="31" stopIfTrue="1">
      <formula>D10-D16&lt;&gt;F9</formula>
    </cfRule>
  </conditionalFormatting>
  <conditionalFormatting sqref="F17">
    <cfRule type="expression" dxfId="41" priority="32" stopIfTrue="1">
      <formula>F16&lt;&gt;H16</formula>
    </cfRule>
    <cfRule type="expression" dxfId="40" priority="33" stopIfTrue="1">
      <formula>D16-D22&lt;&gt;F16</formula>
    </cfRule>
  </conditionalFormatting>
  <conditionalFormatting sqref="F14">
    <cfRule type="expression" dxfId="39" priority="34" stopIfTrue="1">
      <formula>F12&lt;&gt;H13</formula>
    </cfRule>
    <cfRule type="expression" dxfId="38" priority="35" stopIfTrue="1">
      <formula>D13-D22&lt;&gt;F12</formula>
    </cfRule>
  </conditionalFormatting>
  <conditionalFormatting sqref="F20">
    <cfRule type="expression" dxfId="37" priority="36" stopIfTrue="1">
      <formula>F15&lt;&gt;H16</formula>
    </cfRule>
    <cfRule type="expression" dxfId="36" priority="37" stopIfTrue="1">
      <formula>D16-D25&lt;&gt;F15</formula>
    </cfRule>
  </conditionalFormatting>
  <conditionalFormatting sqref="B46:B67">
    <cfRule type="cellIs" dxfId="35" priority="23" stopIfTrue="1" operator="lessThan">
      <formula>TODAY()</formula>
    </cfRule>
  </conditionalFormatting>
  <conditionalFormatting sqref="C46:C67">
    <cfRule type="expression" dxfId="34" priority="22" stopIfTrue="1">
      <formula>B46&lt;TODAY()</formula>
    </cfRule>
  </conditionalFormatting>
  <conditionalFormatting sqref="F5">
    <cfRule type="expression" dxfId="33" priority="16" stopIfTrue="1">
      <formula>F3&lt;&gt;H4</formula>
    </cfRule>
    <cfRule type="expression" dxfId="32" priority="17" stopIfTrue="1">
      <formula>D4-D10&lt;&gt;F3</formula>
    </cfRule>
  </conditionalFormatting>
  <conditionalFormatting sqref="E6">
    <cfRule type="expression" dxfId="31" priority="13">
      <formula>AND($D$6&gt;0,$D$9&gt;$D$6)</formula>
    </cfRule>
  </conditionalFormatting>
  <conditionalFormatting sqref="D6">
    <cfRule type="expression" dxfId="30" priority="11">
      <formula>AND($D$6&gt;0,$D$9&gt;$D$6)</formula>
    </cfRule>
  </conditionalFormatting>
  <conditionalFormatting sqref="F25">
    <cfRule type="expression" dxfId="29" priority="68" stopIfTrue="1">
      <formula>F24&lt;&gt;H24</formula>
    </cfRule>
    <cfRule type="expression" dxfId="28" priority="69" stopIfTrue="1">
      <formula>D24-D33&lt;&gt;F24</formula>
    </cfRule>
  </conditionalFormatting>
  <conditionalFormatting sqref="F34">
    <cfRule type="expression" dxfId="27" priority="9" stopIfTrue="1">
      <formula>F33&lt;&gt;H33</formula>
    </cfRule>
    <cfRule type="expression" dxfId="26" priority="10" stopIfTrue="1">
      <formula>D33-D36&lt;&gt;F33</formula>
    </cfRule>
  </conditionalFormatting>
  <conditionalFormatting sqref="F31">
    <cfRule type="expression" dxfId="25" priority="3" stopIfTrue="1">
      <formula>F30&lt;&gt;H30</formula>
    </cfRule>
    <cfRule type="expression" dxfId="24" priority="4" stopIfTrue="1">
      <formula>D30-D33&lt;&gt;F30</formula>
    </cfRule>
  </conditionalFormatting>
  <conditionalFormatting sqref="F28">
    <cfRule type="expression" dxfId="23" priority="1" stopIfTrue="1">
      <formula>F27&lt;&gt;H27</formula>
    </cfRule>
    <cfRule type="expression" dxfId="22" priority="2" stopIfTrue="1">
      <formula>D27-D30&lt;&gt;F27</formula>
    </cfRule>
  </conditionalFormatting>
  <printOptions horizontalCentered="1"/>
  <pageMargins left="0.75" right="0.75" top="0.6" bottom="0.6" header="0.5" footer="0.5"/>
  <pageSetup orientation="landscape" horizontalDpi="4294967292" r:id="rId1"/>
  <headerFooter alignWithMargins="0"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showGridLines="0" workbookViewId="0">
      <selection activeCell="B4" sqref="B4:G4"/>
    </sheetView>
  </sheetViews>
  <sheetFormatPr defaultColWidth="9.7109375" defaultRowHeight="12.75" x14ac:dyDescent="0.2"/>
  <cols>
    <col min="1" max="1" width="3.7109375" style="3" customWidth="1"/>
    <col min="2" max="2" width="16.7109375" style="3" customWidth="1"/>
    <col min="3" max="3" width="21.7109375" style="3" customWidth="1"/>
    <col min="4" max="4" width="14.7109375" style="3" customWidth="1"/>
    <col min="5" max="6" width="6.7109375" style="3" customWidth="1"/>
    <col min="7" max="7" width="50.7109375" style="3" customWidth="1"/>
    <col min="8" max="8" width="9.7109375" style="3" hidden="1" customWidth="1"/>
    <col min="9" max="10" width="14.7109375" style="3" hidden="1" customWidth="1"/>
    <col min="11" max="11" width="24.7109375" style="3" hidden="1" customWidth="1"/>
    <col min="12" max="12" width="9.7109375" style="3"/>
    <col min="13" max="13" width="9.140625" customWidth="1"/>
    <col min="14" max="16384" width="9.7109375" style="3"/>
  </cols>
  <sheetData>
    <row r="2" spans="2:10" ht="23.25" x14ac:dyDescent="0.35">
      <c r="B2" s="74" t="s">
        <v>11</v>
      </c>
      <c r="C2" s="74"/>
      <c r="D2" s="74"/>
      <c r="E2" s="74"/>
      <c r="F2" s="74"/>
      <c r="G2" s="74"/>
    </row>
    <row r="3" spans="2:10" ht="23.25" x14ac:dyDescent="0.35">
      <c r="B3" s="74" t="s">
        <v>8</v>
      </c>
      <c r="C3" s="74"/>
      <c r="D3" s="74"/>
      <c r="E3" s="74"/>
      <c r="F3" s="74"/>
      <c r="G3" s="74"/>
      <c r="H3" s="4"/>
    </row>
    <row r="4" spans="2:10" ht="23.25" customHeight="1" x14ac:dyDescent="0.35">
      <c r="B4" s="76" t="s">
        <v>69</v>
      </c>
      <c r="C4" s="76"/>
      <c r="D4" s="76"/>
      <c r="E4" s="76"/>
      <c r="F4" s="76"/>
      <c r="G4" s="76"/>
      <c r="H4" s="53" t="s">
        <v>70</v>
      </c>
    </row>
    <row r="5" spans="2:10" ht="12.75" customHeight="1" x14ac:dyDescent="0.2">
      <c r="B5" s="12"/>
      <c r="C5" s="12"/>
      <c r="D5" s="25"/>
      <c r="E5" s="13"/>
      <c r="F5" s="40"/>
      <c r="G5" s="13"/>
      <c r="H5" s="53"/>
    </row>
    <row r="6" spans="2:10" ht="16.5" customHeight="1" thickBot="1" x14ac:dyDescent="0.25">
      <c r="B6" s="14" t="s">
        <v>72</v>
      </c>
      <c r="C6" s="12"/>
      <c r="D6" s="68"/>
      <c r="E6" s="69" t="str">
        <f>"  &lt;-- "&amp;IF(AND($D$6&gt;0,$D$9&gt;$D$6),"Date cannot be prior to calculated NTP date","Optional desired NTP date")</f>
        <v xml:space="preserve">  &lt;-- Optional desired NTP date</v>
      </c>
      <c r="F6" s="13"/>
      <c r="G6" s="13"/>
      <c r="H6" s="53"/>
    </row>
    <row r="7" spans="2:10" ht="12.75" customHeight="1" x14ac:dyDescent="0.2">
      <c r="B7" s="8"/>
      <c r="C7" s="8"/>
      <c r="D7" s="26"/>
      <c r="E7" s="10"/>
      <c r="F7" s="10"/>
      <c r="G7" s="10"/>
      <c r="H7" s="53"/>
    </row>
    <row r="8" spans="2:10" x14ac:dyDescent="0.2">
      <c r="B8" s="43"/>
      <c r="C8" s="43"/>
      <c r="D8" s="43"/>
      <c r="E8" s="43"/>
      <c r="F8" s="43"/>
      <c r="G8" s="27" t="str">
        <f>IF(D9&gt;MAX(Holidays),"Warning! Last date beyond last calculated holiday.","")</f>
        <v/>
      </c>
      <c r="H8" s="52"/>
      <c r="J8" s="28"/>
    </row>
    <row r="9" spans="2:10" ht="13.5" thickBot="1" x14ac:dyDescent="0.25">
      <c r="B9" s="14" t="s">
        <v>4</v>
      </c>
      <c r="C9" s="23"/>
      <c r="D9" s="29">
        <f>WORKDAY(D12+F9,IF(OR(WEEKDAY(D12+F9,2)&gt;5,ISNUMBER(MATCH(D12+F9,Holidays,0))),1,0),Holidays)</f>
        <v>44372</v>
      </c>
      <c r="E9" s="13"/>
      <c r="F9" s="16">
        <f>3*7</f>
        <v>21</v>
      </c>
      <c r="G9" s="43" t="s">
        <v>71</v>
      </c>
      <c r="H9" s="52">
        <f>3*7</f>
        <v>21</v>
      </c>
    </row>
    <row r="10" spans="2:10" x14ac:dyDescent="0.2">
      <c r="B10" s="8"/>
      <c r="C10" s="24"/>
      <c r="D10" s="2"/>
      <c r="E10" s="10"/>
      <c r="F10" s="17" t="str">
        <f>IF(F9&lt;&gt;H9,"Standard "&amp;H9&amp;" days has been changed.  ","")&amp;IF(D9-D12&lt;&gt;F9,"("&amp;D9-D12&amp;" days used)","")</f>
        <v/>
      </c>
      <c r="G10" s="10"/>
      <c r="H10" s="54"/>
    </row>
    <row r="11" spans="2:10" x14ac:dyDescent="0.2">
      <c r="B11" s="12"/>
      <c r="C11" s="12"/>
      <c r="D11" s="25"/>
      <c r="E11" s="13"/>
      <c r="F11" s="40"/>
      <c r="G11" s="13"/>
      <c r="H11" s="52"/>
      <c r="J11" s="30"/>
    </row>
    <row r="12" spans="2:10" x14ac:dyDescent="0.2">
      <c r="B12" s="14" t="s">
        <v>0</v>
      </c>
      <c r="C12" s="12"/>
      <c r="D12" s="31">
        <f>WORKDAY(D15+F12,IF(OR(WEEKDAY(D15+F12,2)&gt;5,ISNUMBER(MATCH(D15+F12,Holidays,0))),1,0),Holidays)</f>
        <v>44351</v>
      </c>
      <c r="E12" s="15"/>
      <c r="F12" s="16">
        <v>14</v>
      </c>
      <c r="G12" s="13" t="s">
        <v>18</v>
      </c>
      <c r="H12" s="52">
        <v>14</v>
      </c>
    </row>
    <row r="13" spans="2:10" x14ac:dyDescent="0.2">
      <c r="B13" s="8"/>
      <c r="C13" s="8"/>
      <c r="D13" s="26"/>
      <c r="E13" s="10"/>
      <c r="F13" s="17" t="str">
        <f>IF(F12&lt;&gt;H12,"Standard "&amp;H12&amp;" days has been changed.  ","")&amp;IF(D12-D15&lt;&gt;F12,"("&amp;D12-D15&amp;" days used)","")</f>
        <v/>
      </c>
      <c r="G13" s="10"/>
      <c r="H13" s="54"/>
      <c r="J13" s="32"/>
    </row>
    <row r="14" spans="2:10" x14ac:dyDescent="0.2">
      <c r="B14" s="12"/>
      <c r="C14" s="12"/>
      <c r="D14" s="25"/>
      <c r="E14" s="13"/>
      <c r="F14" s="40"/>
      <c r="G14" s="13"/>
      <c r="H14" s="52"/>
      <c r="J14" s="32"/>
    </row>
    <row r="15" spans="2:10" x14ac:dyDescent="0.2">
      <c r="B15" s="14" t="s">
        <v>9</v>
      </c>
      <c r="C15" s="12"/>
      <c r="D15" s="31">
        <f>WORKDAY(D18+F15,IF(OR(WEEKDAY(D18+F15,2)&gt;5,ISNUMBER(MATCH(D18+F15,Holidays,0))),1,0),Holidays)</f>
        <v>44337</v>
      </c>
      <c r="E15" s="13"/>
      <c r="F15" s="16">
        <v>30</v>
      </c>
      <c r="G15" s="13" t="s">
        <v>66</v>
      </c>
      <c r="H15" s="52">
        <v>30</v>
      </c>
      <c r="J15" s="32"/>
    </row>
    <row r="16" spans="2:10" x14ac:dyDescent="0.2">
      <c r="B16" s="8"/>
      <c r="C16" s="8"/>
      <c r="D16" s="26"/>
      <c r="E16" s="11"/>
      <c r="F16" s="17" t="str">
        <f>IF(F15&lt;&gt;H15,"Standard "&amp;H15&amp;" days has been changed.  ","")&amp;IF(D15-D18&lt;&gt;F15,"("&amp;D15-D18&amp;" days used)","")</f>
        <v/>
      </c>
      <c r="G16" s="10"/>
      <c r="H16" s="54"/>
      <c r="J16" s="32"/>
    </row>
    <row r="17" spans="2:11" x14ac:dyDescent="0.2">
      <c r="B17" s="12"/>
      <c r="C17" s="12"/>
      <c r="D17" s="25"/>
      <c r="E17" s="13"/>
      <c r="F17" s="40"/>
      <c r="G17" s="13"/>
      <c r="H17" s="52"/>
      <c r="I17" s="46">
        <f>INDEX(Holidays,MATCH(DATE(YEAR(D18),12,1),Holidays))</f>
        <v>44525</v>
      </c>
      <c r="J17" s="47">
        <f>WORKDAY(DATE(YEAR(D18),12,31),VLOOKUP(WEEKDAY(DATE(YEAR(D18),12,25)),Christmas,3,0),Holidays)-1</f>
        <v>44563</v>
      </c>
      <c r="K17" s="48" t="s">
        <v>60</v>
      </c>
    </row>
    <row r="18" spans="2:11" x14ac:dyDescent="0.2">
      <c r="B18" s="14" t="s">
        <v>6</v>
      </c>
      <c r="C18" s="12"/>
      <c r="D18" s="33">
        <f>WORKDAY(J18,IF(J18-INDEX(Holidays,MATCH(J18,Holidays))&lt;2,1,0),Holidays)</f>
        <v>44307</v>
      </c>
      <c r="E18" s="15"/>
      <c r="F18" s="16">
        <v>30</v>
      </c>
      <c r="G18" s="13" t="s">
        <v>19</v>
      </c>
      <c r="H18" s="52">
        <v>30</v>
      </c>
      <c r="I18" s="49">
        <f>D21+F18+IF(WORKDAY(DATE(YEAR(D21),12,24),-1,Holidays)-D21&lt;F18,VLOOKUP(WEEKDAY(DATE(YEAR(D21),12,25)),Christmas,2,0),0)</f>
        <v>44307</v>
      </c>
      <c r="J18" s="50">
        <f>WORKDAY(I18,IF(AND(WEEKDAY(I18,2)=4,ISNUMBER(MATCH(I18,Holidays,0))),3,IF(OR(AND(WEEKDAY(I18,2)=5,ISNUMBER(MATCH(I18,Holidays,0))),WEEKDAY(I18,2)&gt;5),2,IF(OR(WEEKDAY(I18,2)=1,ISNUMBER(MATCH(I18,Holidays,0))),1,0))),Holidays)</f>
        <v>44307</v>
      </c>
      <c r="K18" s="55"/>
    </row>
    <row r="19" spans="2:11" x14ac:dyDescent="0.2">
      <c r="B19" s="8"/>
      <c r="C19" s="8"/>
      <c r="D19" s="26"/>
      <c r="E19" s="11"/>
      <c r="F19" s="17" t="str">
        <f>IF(F18&lt;&gt;H18,"Standard "&amp;H18&amp;" days has been changed.  ","")&amp;IF(D18-D21&lt;&gt;F18,"("&amp;D18-D21&amp;" days used)","")</f>
        <v/>
      </c>
      <c r="G19" s="10"/>
      <c r="H19" s="54"/>
      <c r="I19" s="45" t="s">
        <v>57</v>
      </c>
      <c r="J19" s="51" t="s">
        <v>58</v>
      </c>
      <c r="K19" s="55"/>
    </row>
    <row r="20" spans="2:11" x14ac:dyDescent="0.2">
      <c r="B20" s="12"/>
      <c r="C20" s="12"/>
      <c r="D20" s="25"/>
      <c r="E20" s="13"/>
      <c r="F20" s="13"/>
      <c r="G20" s="21"/>
      <c r="H20" s="52"/>
    </row>
    <row r="21" spans="2:11" x14ac:dyDescent="0.2">
      <c r="B21" s="14" t="s">
        <v>2</v>
      </c>
      <c r="C21" s="12"/>
      <c r="D21" s="31">
        <f>WORKDAY(D30+F21,IF(OR(WEEKDAY(D30+F21,2)&gt;5,ISNUMBER(MATCH(D30+F21,Holidays,0))),1,0),Holidays)</f>
        <v>44277</v>
      </c>
      <c r="E21" s="15"/>
      <c r="F21" s="16">
        <v>14</v>
      </c>
      <c r="G21" s="13" t="s">
        <v>14</v>
      </c>
      <c r="H21" s="52">
        <v>14</v>
      </c>
      <c r="J21" s="34"/>
    </row>
    <row r="22" spans="2:11" x14ac:dyDescent="0.2">
      <c r="B22" s="8"/>
      <c r="C22" s="8"/>
      <c r="D22" s="26"/>
      <c r="E22" s="11"/>
      <c r="F22" s="17" t="str">
        <f>IF(F21&lt;&gt;H21,"Standard "&amp;H21&amp;" days has been changed.  ","")&amp;IF(D21-D30&lt;&gt;F21,"("&amp;D21-D30&amp;" days used)","")</f>
        <v/>
      </c>
      <c r="G22" s="10"/>
      <c r="H22" s="54"/>
    </row>
    <row r="23" spans="2:11" x14ac:dyDescent="0.2">
      <c r="B23" s="12"/>
      <c r="C23" s="12"/>
      <c r="D23" s="25"/>
      <c r="E23" s="15"/>
      <c r="F23" s="15"/>
      <c r="G23" s="21"/>
      <c r="H23" s="70"/>
    </row>
    <row r="24" spans="2:11" x14ac:dyDescent="0.2">
      <c r="B24" s="14" t="s">
        <v>5</v>
      </c>
      <c r="C24" s="12"/>
      <c r="D24" s="31">
        <f>WORKDAY(D27+F24,IF(OR(WEEKDAY(D27+F24,2)&gt;5,ISNUMBER(MATCH(D27+F24,Holidays,0))),1,0),Holidays)</f>
        <v>44270</v>
      </c>
      <c r="E24" s="15"/>
      <c r="F24" s="16">
        <v>0</v>
      </c>
      <c r="G24" s="13" t="s">
        <v>77</v>
      </c>
      <c r="H24" s="70">
        <v>0</v>
      </c>
    </row>
    <row r="25" spans="2:11" x14ac:dyDescent="0.2">
      <c r="B25" s="8"/>
      <c r="C25" s="8"/>
      <c r="D25" s="26"/>
      <c r="E25" s="11"/>
      <c r="F25" s="17" t="str">
        <f>IF(F24&lt;&gt;H24,"Standard "&amp;H24&amp;" days has been changed.  ","")&amp;IF(D24-D27&lt;&gt;F24,"("&amp;D24-D27&amp;" days used)","")</f>
        <v/>
      </c>
      <c r="G25" s="10"/>
      <c r="H25" s="70"/>
    </row>
    <row r="26" spans="2:11" x14ac:dyDescent="0.2">
      <c r="B26" s="12"/>
      <c r="C26" s="12"/>
      <c r="D26" s="25"/>
      <c r="E26" s="15"/>
      <c r="F26" s="15"/>
      <c r="G26" s="21"/>
      <c r="H26" s="70"/>
    </row>
    <row r="27" spans="2:11" x14ac:dyDescent="0.2">
      <c r="B27" s="14" t="s">
        <v>74</v>
      </c>
      <c r="C27" s="12"/>
      <c r="D27" s="31">
        <f>WORKDAY(D30+F27,IF(OR(WEEKDAY(D30+F27,2)&gt;5,ISNUMBER(MATCH(D30+F27,Holidays,0))),1,0),Holidays)</f>
        <v>44270</v>
      </c>
      <c r="E27" s="15"/>
      <c r="F27" s="16">
        <v>7</v>
      </c>
      <c r="G27" s="13" t="s">
        <v>76</v>
      </c>
      <c r="H27" s="70">
        <v>7</v>
      </c>
    </row>
    <row r="28" spans="2:11" x14ac:dyDescent="0.2">
      <c r="B28" s="8"/>
      <c r="C28" s="8"/>
      <c r="D28" s="26"/>
      <c r="E28" s="11"/>
      <c r="F28" s="17" t="str">
        <f>IF(F27&lt;&gt;H27,"Standard "&amp;H27&amp;" days has been changed.  ","")&amp;IF(D27-D30&lt;&gt;F27,"("&amp;D27-D30&amp;" days used)","")</f>
        <v/>
      </c>
      <c r="G28" s="10"/>
      <c r="H28" s="70"/>
    </row>
    <row r="29" spans="2:11" x14ac:dyDescent="0.2">
      <c r="B29" s="12"/>
      <c r="C29" s="12"/>
      <c r="D29" s="25"/>
      <c r="E29" s="15"/>
      <c r="F29" s="15"/>
      <c r="G29" s="21"/>
      <c r="H29" s="52"/>
    </row>
    <row r="30" spans="2:11" x14ac:dyDescent="0.2">
      <c r="B30" s="14" t="s">
        <v>73</v>
      </c>
      <c r="C30" s="12"/>
      <c r="D30" s="31">
        <f>WORKDAY(Arrives+F30,IF(OR(WEEKDAY(Arrives+F30,2)&gt;5,ISNUMBER(MATCH(Arrives+F30,Holidays,0))),1,0),Holidays)</f>
        <v>44263</v>
      </c>
      <c r="E30" s="15"/>
      <c r="F30" s="16">
        <v>7</v>
      </c>
      <c r="G30" s="13" t="s">
        <v>75</v>
      </c>
      <c r="H30" s="52">
        <v>7</v>
      </c>
    </row>
    <row r="31" spans="2:11" x14ac:dyDescent="0.2">
      <c r="B31" s="8"/>
      <c r="C31" s="8"/>
      <c r="D31" s="26"/>
      <c r="E31" s="11"/>
      <c r="F31" s="17" t="str">
        <f>IF(F30&lt;&gt;H30,"Standard "&amp;H30&amp;" days has been changed.  ","")&amp;IF(D30-D33&lt;&gt;F30,"("&amp;D30-D33&amp;" days used)","")</f>
        <v/>
      </c>
      <c r="G31" s="10"/>
      <c r="H31" s="54"/>
    </row>
    <row r="32" spans="2:11" x14ac:dyDescent="0.2">
      <c r="B32" s="12"/>
      <c r="C32" s="12"/>
      <c r="D32" s="25"/>
      <c r="E32" s="15"/>
      <c r="F32" s="15"/>
      <c r="G32" s="21"/>
    </row>
    <row r="33" spans="2:11" ht="16.5" thickBot="1" x14ac:dyDescent="0.3">
      <c r="B33" s="14" t="s">
        <v>3</v>
      </c>
      <c r="C33" s="7">
        <f>Arrives</f>
        <v>44256</v>
      </c>
      <c r="D33" s="6">
        <v>44256</v>
      </c>
      <c r="E33" s="22" t="s">
        <v>56</v>
      </c>
      <c r="F33" s="5"/>
      <c r="G33" s="5"/>
    </row>
    <row r="34" spans="2:11" x14ac:dyDescent="0.2">
      <c r="B34" s="8"/>
      <c r="C34" s="9"/>
      <c r="D34" s="41"/>
      <c r="E34" s="11"/>
      <c r="F34" s="11"/>
      <c r="G34" s="10"/>
    </row>
    <row r="35" spans="2:11" x14ac:dyDescent="0.2">
      <c r="B35" s="13"/>
      <c r="C35" s="13"/>
      <c r="D35" s="13"/>
      <c r="E35" s="15"/>
      <c r="F35" s="15"/>
      <c r="G35" s="13"/>
    </row>
    <row r="36" spans="2:11" x14ac:dyDescent="0.2">
      <c r="B36" s="14" t="s">
        <v>25</v>
      </c>
      <c r="C36" s="13"/>
      <c r="D36" s="13"/>
      <c r="E36" s="15"/>
      <c r="F36" s="15"/>
      <c r="G36" s="13"/>
    </row>
    <row r="37" spans="2:11" x14ac:dyDescent="0.2">
      <c r="B37" s="13"/>
      <c r="C37" s="13"/>
      <c r="D37" s="13"/>
      <c r="E37" s="15"/>
      <c r="F37" s="15"/>
      <c r="G37" s="13"/>
    </row>
    <row r="38" spans="2:11" ht="15.75" x14ac:dyDescent="0.25">
      <c r="B38" s="18" t="s">
        <v>15</v>
      </c>
      <c r="C38" s="13"/>
      <c r="D38" s="13"/>
      <c r="E38" s="13"/>
      <c r="F38" s="13"/>
      <c r="G38" s="13"/>
    </row>
    <row r="39" spans="2:11" ht="12.75" customHeight="1" x14ac:dyDescent="0.2">
      <c r="B39" s="75" t="s">
        <v>16</v>
      </c>
      <c r="C39" s="75"/>
      <c r="D39" s="75"/>
      <c r="E39" s="75"/>
      <c r="F39" s="75"/>
      <c r="G39" s="75"/>
    </row>
    <row r="40" spans="2:11" x14ac:dyDescent="0.2">
      <c r="B40" s="71" t="s">
        <v>62</v>
      </c>
      <c r="C40" s="75"/>
      <c r="D40" s="75"/>
      <c r="E40" s="75"/>
      <c r="F40" s="75"/>
      <c r="G40" s="75"/>
    </row>
    <row r="41" spans="2:11" ht="12.75" customHeight="1" x14ac:dyDescent="0.2">
      <c r="B41" s="71" t="s">
        <v>63</v>
      </c>
      <c r="C41" s="71"/>
      <c r="D41" s="71"/>
      <c r="E41" s="71"/>
      <c r="F41" s="71"/>
      <c r="G41" s="71"/>
      <c r="I41" s="35"/>
    </row>
    <row r="42" spans="2:11" ht="25.5" customHeight="1" x14ac:dyDescent="0.2">
      <c r="B42" s="72" t="str">
        <f>"If the advertisement period includes the Christmas/New Year Holiday period, 7 to 14 days will need to be added to the advertisement period"&amp;IF(YEAR(D18)&lt;&gt;YEAR(D21)," ("&amp;D18-D21-F18&amp;" days were added for holiday period)","")&amp;"."</f>
        <v>If the advertisement period includes the Christmas/New Year Holiday period, 7 to 14 days will need to be added to the advertisement period.</v>
      </c>
      <c r="C42" s="73"/>
      <c r="D42" s="73"/>
      <c r="E42" s="73"/>
      <c r="F42" s="73"/>
      <c r="G42" s="73"/>
      <c r="I42" s="35"/>
    </row>
    <row r="43" spans="2:11" x14ac:dyDescent="0.2">
      <c r="B43" s="19" t="s">
        <v>17</v>
      </c>
      <c r="C43" s="20"/>
      <c r="D43" s="20"/>
      <c r="E43" s="20"/>
      <c r="F43" s="20"/>
      <c r="G43" s="20"/>
    </row>
    <row r="44" spans="2:11" ht="16.5" hidden="1" x14ac:dyDescent="0.35">
      <c r="B44" s="65">
        <f>YEAR(Arrives)</f>
        <v>2021</v>
      </c>
      <c r="C44" s="66"/>
      <c r="D44" s="67"/>
    </row>
    <row r="45" spans="2:11" ht="15" hidden="1" x14ac:dyDescent="0.3">
      <c r="B45" s="56">
        <f>DATE(Year,1,1)+IF(WEEKDAY(DATE(Year,1,1),2)&lt;6,0,IF(WEEKDAY(DATE(Year,1,1),2)=6,-1,1))</f>
        <v>44197</v>
      </c>
      <c r="C45" s="57" t="s">
        <v>27</v>
      </c>
      <c r="D45" s="58"/>
      <c r="G45"/>
      <c r="H45"/>
      <c r="I45"/>
      <c r="J45"/>
      <c r="K45"/>
    </row>
    <row r="46" spans="2:11" ht="15" hidden="1" x14ac:dyDescent="0.3">
      <c r="B46" s="59">
        <f>DATE(Year,1,21)-WEEKDAY(DATE(Year,1,21),3)</f>
        <v>44214</v>
      </c>
      <c r="C46" s="60" t="s">
        <v>28</v>
      </c>
      <c r="D46" s="61"/>
      <c r="G46"/>
      <c r="H46"/>
      <c r="I46"/>
      <c r="J46"/>
      <c r="K46"/>
    </row>
    <row r="47" spans="2:11" ht="15" hidden="1" x14ac:dyDescent="0.3">
      <c r="B47" s="59">
        <f>DATE(Year,2,21)-WEEKDAY(DATE(Year,2,21),3)</f>
        <v>44242</v>
      </c>
      <c r="C47" s="60" t="s">
        <v>29</v>
      </c>
      <c r="D47" s="61"/>
      <c r="G47"/>
      <c r="H47"/>
      <c r="I47"/>
      <c r="J47"/>
      <c r="K47"/>
    </row>
    <row r="48" spans="2:11" ht="15" hidden="1" x14ac:dyDescent="0.3">
      <c r="B48" s="59">
        <f>DATE(Year,5,31)-WEEKDAY(DATE(Year,5,31),3)</f>
        <v>44347</v>
      </c>
      <c r="C48" s="60" t="s">
        <v>30</v>
      </c>
      <c r="D48" s="61"/>
      <c r="G48"/>
      <c r="H48"/>
      <c r="I48"/>
      <c r="J48"/>
      <c r="K48"/>
    </row>
    <row r="49" spans="2:11" ht="15" hidden="1" x14ac:dyDescent="0.3">
      <c r="B49" s="59">
        <f>DATE(Year,7,4)+IF(WEEKDAY(DATE(Year,7,4),2)&lt;6,0,IF(WEEKDAY(DATE(Year,7,4),2)=6,-1,1))</f>
        <v>44382</v>
      </c>
      <c r="C49" s="60" t="s">
        <v>31</v>
      </c>
      <c r="D49" s="61"/>
      <c r="G49"/>
      <c r="H49"/>
      <c r="I49"/>
      <c r="J49"/>
      <c r="K49"/>
    </row>
    <row r="50" spans="2:11" ht="15" hidden="1" x14ac:dyDescent="0.3">
      <c r="B50" s="59">
        <f>DATE(Year,9,7)-WEEKDAY(DATE(Year,9,7),3)</f>
        <v>44445</v>
      </c>
      <c r="C50" s="60" t="s">
        <v>32</v>
      </c>
      <c r="D50" s="61"/>
      <c r="G50"/>
      <c r="H50"/>
      <c r="I50"/>
      <c r="J50"/>
      <c r="K50"/>
    </row>
    <row r="51" spans="2:11" ht="15" hidden="1" x14ac:dyDescent="0.3">
      <c r="B51" s="59">
        <f>DATE(Year,10,14)-WEEKDAY(DATE(Year,10,14),3)</f>
        <v>44480</v>
      </c>
      <c r="C51" s="60" t="s">
        <v>33</v>
      </c>
      <c r="D51" s="61"/>
      <c r="G51"/>
      <c r="H51"/>
      <c r="I51"/>
      <c r="J51"/>
      <c r="K51"/>
    </row>
    <row r="52" spans="2:11" ht="15" hidden="1" x14ac:dyDescent="0.3">
      <c r="B52" s="59">
        <f>DATE(Year,11,11)+IF(WEEKDAY(DATE(Year,11,11),2)&lt;6,0,IF(WEEKDAY(DATE(Year,11,11),2)=6,-1,1))</f>
        <v>44511</v>
      </c>
      <c r="C52" s="60" t="s">
        <v>34</v>
      </c>
      <c r="D52" s="61"/>
      <c r="G52"/>
      <c r="H52"/>
      <c r="I52"/>
      <c r="J52"/>
      <c r="K52"/>
    </row>
    <row r="53" spans="2:11" ht="15" hidden="1" x14ac:dyDescent="0.3">
      <c r="B53" s="59">
        <f>DATE(Year,11,28)-WEEKDAY(DATE(Year,11,25),3)</f>
        <v>44525</v>
      </c>
      <c r="C53" s="60" t="s">
        <v>35</v>
      </c>
      <c r="D53" s="61"/>
      <c r="G53"/>
      <c r="H53"/>
      <c r="I53"/>
      <c r="J53"/>
      <c r="K53"/>
    </row>
    <row r="54" spans="2:11" ht="15" hidden="1" x14ac:dyDescent="0.3">
      <c r="B54" s="59">
        <f>DATE(Year,12,25)+IF(WEEKDAY(DATE(Year,12,25),2)&lt;6,0,IF(WEEKDAY(DATE(Year,12,25),2)=6,-1,1))</f>
        <v>44554</v>
      </c>
      <c r="C54" s="60" t="s">
        <v>36</v>
      </c>
      <c r="D54" s="61"/>
    </row>
    <row r="55" spans="2:11" ht="15" hidden="1" x14ac:dyDescent="0.3">
      <c r="B55" s="59">
        <f>DATE(Year+1,1,1)+IF(WEEKDAY(DATE(Year+1,1,1),2)&lt;6,0,IF(WEEKDAY(DATE(Year+1,1,1),2)=6,-1,1))</f>
        <v>44561</v>
      </c>
      <c r="C55" s="60" t="str">
        <f>C45&amp;" "&amp;(Year+1)</f>
        <v>New Years Day 2022</v>
      </c>
      <c r="D55" s="61"/>
    </row>
    <row r="56" spans="2:11" ht="15" hidden="1" x14ac:dyDescent="0.3">
      <c r="B56" s="59">
        <f>DATE(Year+1,1,21)-WEEKDAY(DATE(Year+1,1,21),3)</f>
        <v>44578</v>
      </c>
      <c r="C56" s="60" t="str">
        <f t="shared" ref="C56:C64" si="0">C46&amp;" "&amp;(Year+1)</f>
        <v>Martin Luther King Day 2022</v>
      </c>
      <c r="D56" s="61"/>
    </row>
    <row r="57" spans="2:11" ht="15" hidden="1" x14ac:dyDescent="0.3">
      <c r="B57" s="59">
        <f>DATE(Year+1,2,21)-WEEKDAY(DATE(Year+1,2,21),3)</f>
        <v>44613</v>
      </c>
      <c r="C57" s="60" t="str">
        <f t="shared" si="0"/>
        <v>President's Day 2022</v>
      </c>
      <c r="D57" s="61"/>
    </row>
    <row r="58" spans="2:11" ht="15" hidden="1" x14ac:dyDescent="0.3">
      <c r="B58" s="59">
        <f>DATE(Year+1,5,31)-WEEKDAY(DATE(Year+1,5,31),3)</f>
        <v>44711</v>
      </c>
      <c r="C58" s="60" t="str">
        <f t="shared" si="0"/>
        <v>Memorial Day 2022</v>
      </c>
      <c r="D58" s="61"/>
    </row>
    <row r="59" spans="2:11" ht="15" hidden="1" x14ac:dyDescent="0.3">
      <c r="B59" s="59">
        <f>DATE(Year+1,7,4)+IF(WEEKDAY(DATE(Year+1,7,4),2)&lt;6,0,IF(WEEKDAY(DATE(Year+1,7,4),2)=6,-1,1))</f>
        <v>44746</v>
      </c>
      <c r="C59" s="60" t="str">
        <f t="shared" si="0"/>
        <v>Independence Day 2022</v>
      </c>
      <c r="D59" s="61"/>
    </row>
    <row r="60" spans="2:11" ht="15" hidden="1" x14ac:dyDescent="0.3">
      <c r="B60" s="59">
        <f>DATE(Year+1,9,7)-WEEKDAY(DATE(Year+1,9,7),3)</f>
        <v>44809</v>
      </c>
      <c r="C60" s="60" t="str">
        <f t="shared" si="0"/>
        <v>Labor Day 2022</v>
      </c>
      <c r="D60" s="61"/>
    </row>
    <row r="61" spans="2:11" ht="15" hidden="1" x14ac:dyDescent="0.3">
      <c r="B61" s="59">
        <f>DATE(Year+1,10,14)-WEEKDAY(DATE(Year+1,10,14),3)</f>
        <v>44844</v>
      </c>
      <c r="C61" s="60" t="str">
        <f t="shared" si="0"/>
        <v>Columbus Day 2022</v>
      </c>
      <c r="D61" s="61"/>
    </row>
    <row r="62" spans="2:11" ht="15" hidden="1" x14ac:dyDescent="0.3">
      <c r="B62" s="59">
        <f>DATE(Year+1,11,11)+IF(WEEKDAY(DATE(Year+1,11,11),2)&lt;6,0,IF(WEEKDAY(DATE(Year+1,11,11),2)=6,-1,1))</f>
        <v>44876</v>
      </c>
      <c r="C62" s="60" t="str">
        <f t="shared" si="0"/>
        <v>Veteran's Day 2022</v>
      </c>
      <c r="D62" s="61"/>
    </row>
    <row r="63" spans="2:11" ht="15" hidden="1" x14ac:dyDescent="0.3">
      <c r="B63" s="59">
        <f>DATE(Year+1,11,28)-WEEKDAY(DATE(Year+1,11,25),3)</f>
        <v>44889</v>
      </c>
      <c r="C63" s="60" t="str">
        <f t="shared" si="0"/>
        <v>Thanksgiving 2022</v>
      </c>
      <c r="D63" s="61"/>
    </row>
    <row r="64" spans="2:11" ht="15" hidden="1" x14ac:dyDescent="0.3">
      <c r="B64" s="59">
        <f>DATE(Year+1,12,25)+IF(WEEKDAY(DATE(Year+1,12,25),2)&lt;6,0,IF(WEEKDAY(DATE(Year+1,12,25),2)=6,-1,1))</f>
        <v>44921</v>
      </c>
      <c r="C64" s="60" t="str">
        <f t="shared" si="0"/>
        <v>Christmas 2022</v>
      </c>
      <c r="D64" s="61"/>
    </row>
    <row r="65" spans="2:4" ht="15" hidden="1" x14ac:dyDescent="0.3">
      <c r="B65" s="59">
        <f>DATE(Year+2,1,1)+IF(WEEKDAY(DATE(Year+2,1,1),2)&lt;6,0,IF(WEEKDAY(DATE(Year+2,1,1),2)=6,-1,1))</f>
        <v>44928</v>
      </c>
      <c r="C65" s="60" t="str">
        <f>C45&amp;" "&amp;(Year+2)</f>
        <v>New Years Day 2023</v>
      </c>
      <c r="D65" s="61"/>
    </row>
    <row r="66" spans="2:4" ht="15" hidden="1" x14ac:dyDescent="0.3">
      <c r="B66" s="62">
        <f>DATE(Year+2,1,21)-WEEKDAY(DATE(Year+2,1,21),3)</f>
        <v>44942</v>
      </c>
      <c r="C66" s="63" t="str">
        <f>C46&amp;" "&amp;(Year+2)</f>
        <v>Martin Luther King Day 2023</v>
      </c>
      <c r="D66" s="64"/>
    </row>
  </sheetData>
  <sheetProtection sheet="1" objects="1" scenarios="1" selectLockedCells="1"/>
  <mergeCells count="7">
    <mergeCell ref="B41:G41"/>
    <mergeCell ref="B42:G42"/>
    <mergeCell ref="B3:G3"/>
    <mergeCell ref="B2:G2"/>
    <mergeCell ref="B39:G39"/>
    <mergeCell ref="B40:G40"/>
    <mergeCell ref="B4:G4"/>
  </mergeCells>
  <phoneticPr fontId="0" type="noConversion"/>
  <conditionalFormatting sqref="B45:B66">
    <cfRule type="cellIs" dxfId="21" priority="25" stopIfTrue="1" operator="lessThan">
      <formula>TODAY()</formula>
    </cfRule>
  </conditionalFormatting>
  <conditionalFormatting sqref="C45:C66">
    <cfRule type="expression" dxfId="20" priority="26" stopIfTrue="1">
      <formula>B45&lt;TODAY()</formula>
    </cfRule>
  </conditionalFormatting>
  <conditionalFormatting sqref="D18 J11">
    <cfRule type="cellIs" dxfId="19" priority="27" stopIfTrue="1" operator="between">
      <formula>$I$17</formula>
      <formula>$J$17</formula>
    </cfRule>
  </conditionalFormatting>
  <conditionalFormatting sqref="F19 F16 F13 F10">
    <cfRule type="expression" dxfId="18" priority="28" stopIfTrue="1">
      <formula>F9&lt;&gt;H9</formula>
    </cfRule>
    <cfRule type="expression" dxfId="17" priority="29" stopIfTrue="1">
      <formula>D9-D12&lt;&gt;F9</formula>
    </cfRule>
  </conditionalFormatting>
  <conditionalFormatting sqref="B41:G41">
    <cfRule type="expression" dxfId="16" priority="30" stopIfTrue="1">
      <formula>AND($D$18&gt;=$I$17,$D$18&lt;=$J$17)</formula>
    </cfRule>
  </conditionalFormatting>
  <conditionalFormatting sqref="F17 F14 F11">
    <cfRule type="expression" dxfId="15" priority="31" stopIfTrue="1">
      <formula>F9&lt;&gt;H10</formula>
    </cfRule>
    <cfRule type="expression" dxfId="14" priority="32" stopIfTrue="1">
      <formula>D10-D16&lt;&gt;F9</formula>
    </cfRule>
  </conditionalFormatting>
  <conditionalFormatting sqref="B45:B66">
    <cfRule type="cellIs" dxfId="13" priority="24" stopIfTrue="1" operator="lessThan">
      <formula>TODAY()</formula>
    </cfRule>
  </conditionalFormatting>
  <conditionalFormatting sqref="C45:C66">
    <cfRule type="expression" dxfId="12" priority="23" stopIfTrue="1">
      <formula>B45&lt;TODAY()</formula>
    </cfRule>
  </conditionalFormatting>
  <conditionalFormatting sqref="F5">
    <cfRule type="expression" dxfId="11" priority="17" stopIfTrue="1">
      <formula>F3&lt;&gt;H4</formula>
    </cfRule>
    <cfRule type="expression" dxfId="10" priority="18" stopIfTrue="1">
      <formula>D4-D10&lt;&gt;F3</formula>
    </cfRule>
  </conditionalFormatting>
  <conditionalFormatting sqref="E6">
    <cfRule type="expression" dxfId="9" priority="13">
      <formula>AND($D$6&gt;0,$D$9&gt;$D$6)</formula>
    </cfRule>
  </conditionalFormatting>
  <conditionalFormatting sqref="D6">
    <cfRule type="expression" dxfId="8" priority="11">
      <formula>AND($D$6&gt;0,$D$9&gt;$D$6)</formula>
    </cfRule>
  </conditionalFormatting>
  <conditionalFormatting sqref="F22">
    <cfRule type="expression" dxfId="7" priority="82" stopIfTrue="1">
      <formula>F21&lt;&gt;H21</formula>
    </cfRule>
    <cfRule type="expression" dxfId="6" priority="83" stopIfTrue="1">
      <formula>D21-D30&lt;&gt;F21</formula>
    </cfRule>
  </conditionalFormatting>
  <conditionalFormatting sqref="F31">
    <cfRule type="expression" dxfId="5" priority="9" stopIfTrue="1">
      <formula>F30&lt;&gt;H30</formula>
    </cfRule>
    <cfRule type="expression" dxfId="4" priority="10" stopIfTrue="1">
      <formula>D30-D33&lt;&gt;F30</formula>
    </cfRule>
  </conditionalFormatting>
  <conditionalFormatting sqref="F28">
    <cfRule type="expression" dxfId="3" priority="3" stopIfTrue="1">
      <formula>F27&lt;&gt;H27</formula>
    </cfRule>
    <cfRule type="expression" dxfId="2" priority="4" stopIfTrue="1">
      <formula>D27-D30&lt;&gt;F27</formula>
    </cfRule>
  </conditionalFormatting>
  <conditionalFormatting sqref="F25">
    <cfRule type="expression" dxfId="1" priority="1" stopIfTrue="1">
      <formula>F24&lt;&gt;H24</formula>
    </cfRule>
    <cfRule type="expression" dxfId="0" priority="2" stopIfTrue="1">
      <formula>D24-D27&lt;&gt;F24</formula>
    </cfRule>
  </conditionalFormatting>
  <printOptions horizontalCentered="1"/>
  <pageMargins left="0.75" right="0.75" top="0.6" bottom="0.6" header="0.5" footer="0.5"/>
  <pageSetup orientation="landscape" horizontalDpi="4294967292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Sealed Bid</vt:lpstr>
      <vt:lpstr>MATOC (price only)</vt:lpstr>
      <vt:lpstr>MATOC (evaluation factors)</vt:lpstr>
      <vt:lpstr>Negotiated</vt:lpstr>
      <vt:lpstr>8(a)</vt:lpstr>
      <vt:lpstr>'8(a)'!Arrives</vt:lpstr>
      <vt:lpstr>'MATOC (evaluation factors)'!Arrives</vt:lpstr>
      <vt:lpstr>'MATOC (price only)'!Arrives</vt:lpstr>
      <vt:lpstr>Negotiated!Arrives</vt:lpstr>
      <vt:lpstr>'Sealed Bid'!Arrives</vt:lpstr>
      <vt:lpstr>Christmas</vt:lpstr>
      <vt:lpstr>'8(a)'!Holidays</vt:lpstr>
      <vt:lpstr>'MATOC (evaluation factors)'!Holidays</vt:lpstr>
      <vt:lpstr>'MATOC (price only)'!Holidays</vt:lpstr>
      <vt:lpstr>Negotiated!Holidays</vt:lpstr>
      <vt:lpstr>'Sealed Bid'!Holidays</vt:lpstr>
      <vt:lpstr>'8(a)'!Print_Area</vt:lpstr>
      <vt:lpstr>'MATOC (evaluation factors)'!Print_Area</vt:lpstr>
      <vt:lpstr>'MATOC (price only)'!Print_Area</vt:lpstr>
      <vt:lpstr>Negotiated!Print_Area</vt:lpstr>
      <vt:lpstr>'Sealed Bid'!Print_Area</vt:lpstr>
      <vt:lpstr>'8(a)'!Year</vt:lpstr>
      <vt:lpstr>'MATOC (evaluation factors)'!Year</vt:lpstr>
      <vt:lpstr>'MATOC (price only)'!Year</vt:lpstr>
      <vt:lpstr>Negotiated!Year</vt:lpstr>
      <vt:lpstr>'Sealed Bid'!Year</vt:lpstr>
    </vt:vector>
  </TitlesOfParts>
  <Company>Federal Highway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PS&amp;E to NTP Calculator</dc:title>
  <dc:subject>Scheduling tools</dc:subject>
  <dc:creator>Elizabeth Firestone</dc:creator>
  <cp:lastModifiedBy>Administrator</cp:lastModifiedBy>
  <cp:lastPrinted>2012-10-02T17:34:11Z</cp:lastPrinted>
  <dcterms:created xsi:type="dcterms:W3CDTF">2005-07-08T14:02:10Z</dcterms:created>
  <dcterms:modified xsi:type="dcterms:W3CDTF">2021-02-08T20:43:21Z</dcterms:modified>
</cp:coreProperties>
</file>